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VAITH1/Desktop/Advaith /"/>
    </mc:Choice>
  </mc:AlternateContent>
  <xr:revisionPtr revIDLastSave="0" documentId="13_ncr:1_{42D0876C-F4E1-7442-84ED-D4CD2FE7BC13}" xr6:coauthVersionLast="47" xr6:coauthVersionMax="47" xr10:uidLastSave="{00000000-0000-0000-0000-000000000000}"/>
  <bookViews>
    <workbookView xWindow="1680" yWindow="2060" windowWidth="26040" windowHeight="16760" activeTab="2" xr2:uid="{5D72E457-7E03-FF4E-8CFE-D0BE16E705AB}"/>
  </bookViews>
  <sheets>
    <sheet name="General Outline" sheetId="1" r:id="rId1"/>
    <sheet name="1. BorgWarner" sheetId="2" r:id="rId2"/>
    <sheet name="2. CocaCol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3" l="1"/>
  <c r="K19" i="3"/>
  <c r="G21" i="3"/>
  <c r="H20" i="3"/>
  <c r="F20" i="3"/>
  <c r="F19" i="3"/>
  <c r="K9" i="3"/>
  <c r="K10" i="3"/>
  <c r="J10" i="3"/>
  <c r="L11" i="3"/>
  <c r="L10" i="3"/>
  <c r="K6" i="3"/>
  <c r="D9" i="3"/>
  <c r="D10" i="3" s="1"/>
  <c r="E9" i="3"/>
  <c r="E10" i="3" s="1"/>
  <c r="F9" i="3"/>
  <c r="G9" i="3"/>
  <c r="E31" i="3"/>
  <c r="I35" i="3"/>
  <c r="F34" i="3"/>
  <c r="E36" i="3" s="1"/>
  <c r="E27" i="3" s="1"/>
  <c r="E35" i="3"/>
  <c r="H22" i="3"/>
  <c r="I22" i="3"/>
  <c r="J22" i="3"/>
  <c r="G22" i="3"/>
  <c r="H21" i="3"/>
  <c r="I21" i="3"/>
  <c r="J21" i="3"/>
  <c r="E42" i="3"/>
  <c r="G20" i="3"/>
  <c r="I20" i="3"/>
  <c r="J20" i="3"/>
  <c r="G19" i="3"/>
  <c r="H19" i="3"/>
  <c r="I19" i="3"/>
  <c r="J19" i="3"/>
  <c r="E41" i="3"/>
  <c r="E14" i="3"/>
  <c r="F14" i="3"/>
  <c r="G14" i="3"/>
  <c r="H14" i="3"/>
  <c r="I14" i="3"/>
  <c r="J14" i="3"/>
  <c r="D14" i="3"/>
  <c r="K11" i="3"/>
  <c r="E40" i="3"/>
  <c r="E12" i="3"/>
  <c r="F12" i="3"/>
  <c r="G12" i="3"/>
  <c r="H12" i="3"/>
  <c r="I12" i="3"/>
  <c r="J12" i="3"/>
  <c r="D12" i="3"/>
  <c r="F10" i="3"/>
  <c r="G10" i="3"/>
  <c r="H9" i="3"/>
  <c r="H10" i="3" s="1"/>
  <c r="I9" i="3"/>
  <c r="I10" i="3" s="1"/>
  <c r="J9" i="3"/>
  <c r="E38" i="3"/>
  <c r="F37" i="3"/>
  <c r="K13" i="3" s="1"/>
  <c r="F7" i="3"/>
  <c r="G7" i="3"/>
  <c r="H7" i="3"/>
  <c r="I7" i="3"/>
  <c r="J7" i="3"/>
  <c r="E7" i="3"/>
  <c r="I9" i="2"/>
  <c r="D8" i="2"/>
  <c r="D9" i="2" s="1"/>
  <c r="E8" i="2"/>
  <c r="E9" i="2" s="1"/>
  <c r="G8" i="2"/>
  <c r="G9" i="2" s="1"/>
  <c r="H8" i="2"/>
  <c r="H9" i="2" s="1"/>
  <c r="I8" i="2"/>
  <c r="J8" i="2"/>
  <c r="J9" i="2" s="1"/>
  <c r="K8" i="2"/>
  <c r="K9" i="2" s="1"/>
  <c r="C8" i="2"/>
  <c r="C9" i="2" s="1"/>
  <c r="F6" i="2"/>
  <c r="G6" i="2" s="1"/>
  <c r="H6" i="2" s="1"/>
  <c r="I6" i="2" s="1"/>
  <c r="J6" i="2" s="1"/>
  <c r="K6" i="2" s="1"/>
  <c r="P5" i="2"/>
  <c r="O20" i="2" s="1"/>
  <c r="O21" i="2" s="1"/>
  <c r="P6" i="2"/>
  <c r="P7" i="2"/>
  <c r="P8" i="2"/>
  <c r="P9" i="2"/>
  <c r="P10" i="2"/>
  <c r="P11" i="2"/>
  <c r="P12" i="2"/>
  <c r="P13" i="2"/>
  <c r="P14" i="2"/>
  <c r="P15" i="2"/>
  <c r="P16" i="2"/>
  <c r="P4" i="2"/>
  <c r="L6" i="3" l="1"/>
  <c r="L19" i="3" s="1"/>
  <c r="L21" i="3" s="1"/>
  <c r="K7" i="3"/>
  <c r="F8" i="2"/>
  <c r="F9" i="2" s="1"/>
  <c r="K22" i="3" l="1"/>
  <c r="K25" i="3" s="1"/>
  <c r="L13" i="3"/>
  <c r="M6" i="3"/>
  <c r="M19" i="3" s="1"/>
  <c r="M21" i="3" s="1"/>
  <c r="L9" i="3"/>
  <c r="L22" i="3" l="1"/>
  <c r="L25" i="3" s="1"/>
  <c r="M11" i="3"/>
  <c r="M13" i="3"/>
  <c r="M9" i="3"/>
  <c r="N6" i="3"/>
  <c r="N19" i="3" s="1"/>
  <c r="N21" i="3" s="1"/>
  <c r="M10" i="3" l="1"/>
  <c r="M22" i="3"/>
  <c r="M25" i="3" s="1"/>
  <c r="N11" i="3"/>
  <c r="N13" i="3"/>
  <c r="O6" i="3"/>
  <c r="O19" i="3" s="1"/>
  <c r="O21" i="3" s="1"/>
  <c r="N9" i="3"/>
  <c r="N10" i="3" l="1"/>
  <c r="N22" i="3"/>
  <c r="N25" i="3" s="1"/>
  <c r="O13" i="3"/>
  <c r="O11" i="3"/>
  <c r="O9" i="3"/>
  <c r="P6" i="3"/>
  <c r="P19" i="3" s="1"/>
  <c r="P21" i="3" s="1"/>
  <c r="O10" i="3" l="1"/>
  <c r="O22" i="3"/>
  <c r="O25" i="3" s="1"/>
  <c r="P9" i="3"/>
  <c r="P13" i="3"/>
  <c r="P11" i="3"/>
  <c r="P10" i="3" l="1"/>
  <c r="P22" i="3"/>
  <c r="P25" i="3" s="1"/>
</calcChain>
</file>

<file path=xl/sharedStrings.xml><?xml version="1.0" encoding="utf-8"?>
<sst xmlns="http://schemas.openxmlformats.org/spreadsheetml/2006/main" count="76" uniqueCount="58">
  <si>
    <t>Calculating Intrinsic Value</t>
  </si>
  <si>
    <t>1. Forecasting FCFF for the next 5 years</t>
  </si>
  <si>
    <t>2. Calculating Terminal Value</t>
  </si>
  <si>
    <t>3. Discounting to Present Value using WACC</t>
  </si>
  <si>
    <t>4. Finding Net Enteprise Value</t>
  </si>
  <si>
    <t>5. Finding Net Equity Value</t>
  </si>
  <si>
    <t>6. Finding Value Per Share - Intrinsic Stock Price</t>
  </si>
  <si>
    <t>7. Repeating Process for 3 cases (optimistic, pessimistic, average)</t>
  </si>
  <si>
    <t>Forecasting FCFF - Using data online</t>
  </si>
  <si>
    <t>Calculating Terminal Value - Using Gordon Growth method</t>
  </si>
  <si>
    <t>Discounting to Present Value - Using WACC, 10-year US Treasury</t>
  </si>
  <si>
    <t xml:space="preserve">Finding Net Enterprise Value - </t>
  </si>
  <si>
    <t>INTRINSIC VALUATION OF BORGWARNER INC:</t>
  </si>
  <si>
    <t>BorgWarner Revenue ($M)</t>
  </si>
  <si>
    <t>Estimating Average Revenue Growth %:</t>
  </si>
  <si>
    <t xml:space="preserve">sum = </t>
  </si>
  <si>
    <t xml:space="preserve">average = </t>
  </si>
  <si>
    <t>Year</t>
  </si>
  <si>
    <t>Revenue ($M)</t>
  </si>
  <si>
    <t>Projection</t>
  </si>
  <si>
    <t>Reported</t>
  </si>
  <si>
    <t>EBIT Margin for BWA</t>
  </si>
  <si>
    <t>EBIT Margin (%)</t>
  </si>
  <si>
    <t>EBIT ($M)</t>
  </si>
  <si>
    <t>NOPAT ($)</t>
  </si>
  <si>
    <t>D&amp;A ($M)</t>
  </si>
  <si>
    <t>Revenue Growth (%)</t>
  </si>
  <si>
    <t>none</t>
  </si>
  <si>
    <t>Revenue Growth Rate Average (%):</t>
  </si>
  <si>
    <t xml:space="preserve">Average EBIT Margin (%): </t>
  </si>
  <si>
    <t>Tax Rate Assumption: 27%</t>
  </si>
  <si>
    <t>D&amp;A (%)</t>
  </si>
  <si>
    <t xml:space="preserve">Average D&amp;A (%): </t>
  </si>
  <si>
    <t>CapEx ($M)</t>
  </si>
  <si>
    <t>CapEx (%):</t>
  </si>
  <si>
    <t>CapEx (%)</t>
  </si>
  <si>
    <t>Current Assets ($M)</t>
  </si>
  <si>
    <t>Cash ($M)</t>
  </si>
  <si>
    <t>Current Liabilities ($M)</t>
  </si>
  <si>
    <t>Debt ($M)</t>
  </si>
  <si>
    <t>NWC ($M)</t>
  </si>
  <si>
    <t>NWC (%)</t>
  </si>
  <si>
    <t>NWC (avg%):</t>
  </si>
  <si>
    <t>Change in NWC ($M)</t>
  </si>
  <si>
    <t>FCFF</t>
  </si>
  <si>
    <t>** WACC should be calculated, rather than assumed</t>
  </si>
  <si>
    <t>WACC (%)**</t>
  </si>
  <si>
    <t>PV ($M)</t>
  </si>
  <si>
    <t>INTRINSIC VALUATION OF COCA COLA INC:</t>
  </si>
  <si>
    <t xml:space="preserve">Calculating Terminal Value: </t>
  </si>
  <si>
    <t>FCFF Terminal:</t>
  </si>
  <si>
    <t>PV (Terminal):</t>
  </si>
  <si>
    <t>Enterprise Value ($M)</t>
  </si>
  <si>
    <t>Calculating Equity Value:</t>
  </si>
  <si>
    <t>Equity Value ($M)</t>
  </si>
  <si>
    <t>Diluted Shares Outstanding:</t>
  </si>
  <si>
    <t>Shares Outstanding (M)</t>
  </si>
  <si>
    <t>INTRINSIC VALUE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</si>
</sst>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5"/>
      <color rgb="FF333333"/>
      <name val="Arial"/>
      <family val="2"/>
    </font>
    <font>
      <sz val="17"/>
      <color theme="1"/>
      <name val="Helvetica Neue"/>
      <family val="2"/>
    </font>
    <font>
      <sz val="12"/>
      <color rgb="FF00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0" fillId="4" borderId="0" xfId="0" applyFill="1"/>
    <xf numFmtId="9" fontId="0" fillId="0" borderId="0" xfId="0" applyNumberFormat="1"/>
    <xf numFmtId="10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10" fontId="4" fillId="0" borderId="0" xfId="0" applyNumberFormat="1" applyFont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6A0E-031B-8645-B1CD-567827CF4780}">
  <dimension ref="B3:L18"/>
  <sheetViews>
    <sheetView zoomScale="164" workbookViewId="0">
      <selection activeCell="B20" sqref="B20"/>
    </sheetView>
  </sheetViews>
  <sheetFormatPr baseColWidth="10" defaultRowHeight="16" x14ac:dyDescent="0.2"/>
  <sheetData>
    <row r="3" spans="2:12" x14ac:dyDescent="0.2">
      <c r="B3" s="1"/>
      <c r="C3" s="1"/>
      <c r="D3" s="1"/>
      <c r="E3" s="1"/>
      <c r="F3" s="3" t="s">
        <v>0</v>
      </c>
      <c r="G3" s="3"/>
      <c r="H3" s="1"/>
      <c r="I3" s="1"/>
      <c r="J3" s="1"/>
      <c r="K3" s="1"/>
      <c r="L3" s="1"/>
    </row>
    <row r="4" spans="2:12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x14ac:dyDescent="0.2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x14ac:dyDescent="0.2">
      <c r="B6" s="2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x14ac:dyDescent="0.2"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x14ac:dyDescent="0.2">
      <c r="B8" s="2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x14ac:dyDescent="0.2">
      <c r="B9" s="2" t="s">
        <v>5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x14ac:dyDescent="0.2">
      <c r="B10" s="2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x14ac:dyDescent="0.2">
      <c r="B11" s="2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2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5" spans="2:12" x14ac:dyDescent="0.2">
      <c r="B15" t="s">
        <v>8</v>
      </c>
    </row>
    <row r="16" spans="2:12" x14ac:dyDescent="0.2">
      <c r="B16" t="s">
        <v>9</v>
      </c>
    </row>
    <row r="17" spans="2:2" x14ac:dyDescent="0.2">
      <c r="B17" t="s">
        <v>10</v>
      </c>
    </row>
    <row r="18" spans="2:2" x14ac:dyDescent="0.2">
      <c r="B1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C8B7-CA35-7D4C-A15B-CD73D912F418}">
  <dimension ref="B3:R21"/>
  <sheetViews>
    <sheetView zoomScale="144" workbookViewId="0">
      <selection activeCell="B3" sqref="B3:K10"/>
    </sheetView>
  </sheetViews>
  <sheetFormatPr baseColWidth="10" defaultRowHeight="16" x14ac:dyDescent="0.2"/>
  <sheetData>
    <row r="3" spans="2:18" x14ac:dyDescent="0.2">
      <c r="B3" t="s">
        <v>12</v>
      </c>
      <c r="N3" t="s">
        <v>13</v>
      </c>
      <c r="R3" t="s">
        <v>21</v>
      </c>
    </row>
    <row r="4" spans="2:18" ht="19" x14ac:dyDescent="0.2">
      <c r="C4" s="7"/>
      <c r="D4" s="7" t="s">
        <v>20</v>
      </c>
      <c r="E4" s="7"/>
      <c r="F4" s="2"/>
      <c r="G4" s="2"/>
      <c r="H4" s="2" t="s">
        <v>19</v>
      </c>
      <c r="I4" s="2"/>
      <c r="J4" s="2"/>
      <c r="K4" s="2"/>
      <c r="N4" s="4">
        <v>2024</v>
      </c>
      <c r="O4" s="5">
        <v>14086</v>
      </c>
      <c r="P4">
        <f>(O4-O5)*100/O5</f>
        <v>-0.78884349908437812</v>
      </c>
    </row>
    <row r="5" spans="2:18" ht="19" x14ac:dyDescent="0.2">
      <c r="B5" t="s">
        <v>17</v>
      </c>
      <c r="C5">
        <v>2022</v>
      </c>
      <c r="D5">
        <v>2023</v>
      </c>
      <c r="E5">
        <v>2024</v>
      </c>
      <c r="F5">
        <v>2025</v>
      </c>
      <c r="G5">
        <v>2026</v>
      </c>
      <c r="H5">
        <v>2027</v>
      </c>
      <c r="I5">
        <v>2028</v>
      </c>
      <c r="J5">
        <v>2029</v>
      </c>
      <c r="K5">
        <v>2030</v>
      </c>
      <c r="N5" s="4">
        <v>2023</v>
      </c>
      <c r="O5" s="5">
        <v>14198</v>
      </c>
      <c r="P5">
        <f t="shared" ref="P5:P16" si="0">(O5-O6)*100/O6</f>
        <v>12.370399683419073</v>
      </c>
    </row>
    <row r="6" spans="2:18" ht="19" x14ac:dyDescent="0.2">
      <c r="B6" t="s">
        <v>18</v>
      </c>
      <c r="C6" s="6">
        <v>12635</v>
      </c>
      <c r="D6" s="6">
        <v>14198</v>
      </c>
      <c r="E6" s="6">
        <v>14086</v>
      </c>
      <c r="F6">
        <f>E6*1.05584</f>
        <v>14872.562239999999</v>
      </c>
      <c r="G6">
        <f t="shared" ref="G6:K6" si="1">F6*1.05584</f>
        <v>15703.046115481598</v>
      </c>
      <c r="H6">
        <f t="shared" si="1"/>
        <v>16579.90421057009</v>
      </c>
      <c r="I6">
        <f t="shared" si="1"/>
        <v>17505.726061688321</v>
      </c>
      <c r="J6">
        <f t="shared" si="1"/>
        <v>18483.245804972994</v>
      </c>
      <c r="K6">
        <f t="shared" si="1"/>
        <v>19515.350250722684</v>
      </c>
      <c r="N6" s="4">
        <v>2022</v>
      </c>
      <c r="O6" s="5">
        <v>12635</v>
      </c>
      <c r="P6">
        <f t="shared" si="0"/>
        <v>7.0490553249173935</v>
      </c>
    </row>
    <row r="7" spans="2:18" ht="19" x14ac:dyDescent="0.2">
      <c r="B7" t="s">
        <v>22</v>
      </c>
      <c r="C7" s="8">
        <v>0.08</v>
      </c>
      <c r="D7" s="8">
        <v>0.08</v>
      </c>
      <c r="E7" s="8">
        <v>0.05</v>
      </c>
      <c r="F7" s="9">
        <v>3.2000000000000001E-2</v>
      </c>
      <c r="G7" s="8">
        <v>0.03</v>
      </c>
      <c r="H7" s="8">
        <v>0.03</v>
      </c>
      <c r="I7" s="8">
        <v>0.04</v>
      </c>
      <c r="J7" s="8">
        <v>0.05</v>
      </c>
      <c r="K7" s="8">
        <v>0.06</v>
      </c>
      <c r="N7" s="4">
        <v>2021</v>
      </c>
      <c r="O7" s="5">
        <v>11803</v>
      </c>
      <c r="P7">
        <f t="shared" si="0"/>
        <v>16.114117068371865</v>
      </c>
    </row>
    <row r="8" spans="2:18" ht="19" x14ac:dyDescent="0.2">
      <c r="B8" t="s">
        <v>23</v>
      </c>
      <c r="C8">
        <f>C7*C6</f>
        <v>1010.8000000000001</v>
      </c>
      <c r="D8">
        <f>D7*D6</f>
        <v>1135.8399999999999</v>
      </c>
      <c r="E8">
        <f t="shared" ref="E8:K8" si="2">E7*E6</f>
        <v>704.30000000000007</v>
      </c>
      <c r="F8">
        <f t="shared" si="2"/>
        <v>475.92199167999996</v>
      </c>
      <c r="G8">
        <f t="shared" si="2"/>
        <v>471.09138346444792</v>
      </c>
      <c r="H8">
        <f t="shared" si="2"/>
        <v>497.39712631710267</v>
      </c>
      <c r="I8">
        <f t="shared" si="2"/>
        <v>700.22904246753285</v>
      </c>
      <c r="J8">
        <f t="shared" si="2"/>
        <v>924.1622902486497</v>
      </c>
      <c r="K8">
        <f t="shared" si="2"/>
        <v>1170.921015043361</v>
      </c>
      <c r="N8" s="4">
        <v>2020</v>
      </c>
      <c r="O8" s="5">
        <v>10165</v>
      </c>
      <c r="P8">
        <f t="shared" si="0"/>
        <v>-2.9504327301337528E-2</v>
      </c>
    </row>
    <row r="9" spans="2:18" ht="19" x14ac:dyDescent="0.2">
      <c r="B9" t="s">
        <v>24</v>
      </c>
      <c r="C9">
        <f>C8*(1-0.27)</f>
        <v>737.88400000000001</v>
      </c>
      <c r="D9">
        <f t="shared" ref="D9:K9" si="3">D8*(1-0.27)</f>
        <v>829.16319999999996</v>
      </c>
      <c r="E9">
        <f t="shared" si="3"/>
        <v>514.13900000000001</v>
      </c>
      <c r="F9">
        <f t="shared" si="3"/>
        <v>347.42305392639997</v>
      </c>
      <c r="G9">
        <f t="shared" si="3"/>
        <v>343.89670992904695</v>
      </c>
      <c r="H9">
        <f t="shared" si="3"/>
        <v>363.09990221148496</v>
      </c>
      <c r="I9">
        <f>I8*(1-0.27)</f>
        <v>511.16720100129896</v>
      </c>
      <c r="J9">
        <f t="shared" si="3"/>
        <v>674.63847188151431</v>
      </c>
      <c r="K9">
        <f t="shared" si="3"/>
        <v>854.77234098165343</v>
      </c>
      <c r="N9" s="4">
        <v>2019</v>
      </c>
      <c r="O9" s="5">
        <v>10168</v>
      </c>
      <c r="P9">
        <f t="shared" si="0"/>
        <v>-3.4377967711301043</v>
      </c>
    </row>
    <row r="10" spans="2:18" ht="19" x14ac:dyDescent="0.2">
      <c r="B10" t="s">
        <v>25</v>
      </c>
      <c r="C10">
        <v>721</v>
      </c>
      <c r="D10">
        <v>582</v>
      </c>
      <c r="E10">
        <v>673</v>
      </c>
      <c r="N10" s="4">
        <v>2018</v>
      </c>
      <c r="O10" s="5">
        <v>10530</v>
      </c>
      <c r="P10">
        <f t="shared" si="0"/>
        <v>7.4599448923359528</v>
      </c>
    </row>
    <row r="11" spans="2:18" ht="22" x14ac:dyDescent="0.25">
      <c r="C11" s="10"/>
      <c r="N11" s="4">
        <v>2017</v>
      </c>
      <c r="O11" s="5">
        <v>9799</v>
      </c>
      <c r="P11">
        <f t="shared" si="0"/>
        <v>8.0255760114651089</v>
      </c>
    </row>
    <row r="12" spans="2:18" ht="22" x14ac:dyDescent="0.25">
      <c r="C12" s="10"/>
      <c r="N12" s="4">
        <v>2016</v>
      </c>
      <c r="O12" s="5">
        <v>9071</v>
      </c>
      <c r="P12">
        <f t="shared" si="0"/>
        <v>13.062445469275833</v>
      </c>
    </row>
    <row r="13" spans="2:18" ht="19" x14ac:dyDescent="0.2">
      <c r="N13" s="4">
        <v>2015</v>
      </c>
      <c r="O13" s="5">
        <v>8023</v>
      </c>
      <c r="P13">
        <f t="shared" si="0"/>
        <v>-3.395544852498495</v>
      </c>
    </row>
    <row r="14" spans="2:18" ht="19" x14ac:dyDescent="0.2">
      <c r="N14" s="4">
        <v>2014</v>
      </c>
      <c r="O14" s="5">
        <v>8305</v>
      </c>
      <c r="P14">
        <f t="shared" si="0"/>
        <v>11.671372865402716</v>
      </c>
    </row>
    <row r="15" spans="2:18" ht="19" x14ac:dyDescent="0.2">
      <c r="N15" s="4">
        <v>2013</v>
      </c>
      <c r="O15" s="5">
        <v>7437</v>
      </c>
      <c r="P15">
        <f t="shared" si="0"/>
        <v>3.5361269664485593</v>
      </c>
    </row>
    <row r="16" spans="2:18" ht="19" x14ac:dyDescent="0.2">
      <c r="N16" s="4">
        <v>2012</v>
      </c>
      <c r="O16" s="5">
        <v>7183</v>
      </c>
      <c r="P16">
        <f t="shared" si="0"/>
        <v>0.95572733661278986</v>
      </c>
    </row>
    <row r="17" spans="14:15" ht="19" x14ac:dyDescent="0.2">
      <c r="N17" s="4">
        <v>2011</v>
      </c>
      <c r="O17" s="5">
        <v>7115</v>
      </c>
    </row>
    <row r="19" spans="14:15" x14ac:dyDescent="0.2">
      <c r="N19" t="s">
        <v>14</v>
      </c>
    </row>
    <row r="20" spans="14:15" x14ac:dyDescent="0.2">
      <c r="N20" t="s">
        <v>15</v>
      </c>
      <c r="O20">
        <f>SUM(P4:P16)</f>
        <v>72.593076168235001</v>
      </c>
    </row>
    <row r="21" spans="14:15" x14ac:dyDescent="0.2">
      <c r="N21" t="s">
        <v>16</v>
      </c>
      <c r="O21">
        <f>O20/13</f>
        <v>5.5840827821719232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E0CD-5002-4F48-82C0-53D1417C5331}">
  <dimension ref="C3:P44"/>
  <sheetViews>
    <sheetView tabSelected="1" topLeftCell="B8" zoomScale="131" zoomScaleNormal="165" workbookViewId="0">
      <selection activeCell="K27" sqref="K27"/>
    </sheetView>
  </sheetViews>
  <sheetFormatPr baseColWidth="10" defaultRowHeight="16" x14ac:dyDescent="0.2"/>
  <sheetData>
    <row r="3" spans="3:16" x14ac:dyDescent="0.2">
      <c r="C3" t="s">
        <v>48</v>
      </c>
    </row>
    <row r="4" spans="3:16" x14ac:dyDescent="0.2">
      <c r="C4" s="13"/>
      <c r="D4" s="7"/>
      <c r="E4" s="7"/>
      <c r="F4" s="7"/>
      <c r="G4" s="7" t="s">
        <v>20</v>
      </c>
      <c r="H4" s="7"/>
      <c r="I4" s="7"/>
      <c r="J4" s="7"/>
      <c r="K4" s="2"/>
      <c r="L4" s="2"/>
      <c r="M4" s="2" t="s">
        <v>19</v>
      </c>
      <c r="N4" s="2"/>
      <c r="O4" s="2"/>
      <c r="P4" s="2"/>
    </row>
    <row r="5" spans="3:16" x14ac:dyDescent="0.2">
      <c r="C5" s="13" t="s">
        <v>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</row>
    <row r="6" spans="3:16" x14ac:dyDescent="0.2">
      <c r="C6" s="13" t="s">
        <v>18</v>
      </c>
      <c r="D6">
        <v>34300</v>
      </c>
      <c r="E6" s="6">
        <v>37266</v>
      </c>
      <c r="F6" s="6">
        <v>33014</v>
      </c>
      <c r="G6" s="6">
        <v>38655</v>
      </c>
      <c r="H6" s="6">
        <v>43004</v>
      </c>
      <c r="I6" s="6">
        <v>45754</v>
      </c>
      <c r="J6" s="6">
        <v>47061</v>
      </c>
      <c r="K6">
        <f>J6*(1+F37)</f>
        <v>49792.592985359421</v>
      </c>
      <c r="L6">
        <f>K6*(1+F37)</f>
        <v>52682.737642754386</v>
      </c>
      <c r="M6">
        <f>L6*(1+F37)</f>
        <v>55740.636892546754</v>
      </c>
      <c r="N6">
        <f>M6*(1+F37)</f>
        <v>58976.027826337944</v>
      </c>
      <c r="O6">
        <f>N6*(1+F37)</f>
        <v>62399.212712226188</v>
      </c>
      <c r="P6">
        <f>O6*(1+F37)</f>
        <v>66021.091799722577</v>
      </c>
    </row>
    <row r="7" spans="3:16" x14ac:dyDescent="0.2">
      <c r="C7" s="13" t="s">
        <v>26</v>
      </c>
      <c r="D7" s="11" t="s">
        <v>27</v>
      </c>
      <c r="E7" s="8">
        <f>(E6-D6)/D6</f>
        <v>8.6472303206997086E-2</v>
      </c>
      <c r="F7" s="8">
        <f t="shared" ref="F7:J7" si="0">(F6-E6)/E6</f>
        <v>-0.11409864219395696</v>
      </c>
      <c r="G7" s="8">
        <f t="shared" si="0"/>
        <v>0.17086690494941539</v>
      </c>
      <c r="H7" s="8">
        <f t="shared" si="0"/>
        <v>0.11250808433579097</v>
      </c>
      <c r="I7" s="8">
        <f t="shared" si="0"/>
        <v>6.3947539763742914E-2</v>
      </c>
      <c r="J7" s="8">
        <f t="shared" si="0"/>
        <v>2.8565808453905668E-2</v>
      </c>
      <c r="K7" s="8">
        <f>F37</f>
        <v>5.8043666419315847E-2</v>
      </c>
      <c r="L7" s="8">
        <v>0.06</v>
      </c>
      <c r="M7" s="8">
        <v>0.06</v>
      </c>
      <c r="N7" s="8">
        <v>0.06</v>
      </c>
      <c r="O7" s="8">
        <v>0.06</v>
      </c>
      <c r="P7" s="8">
        <v>0.06</v>
      </c>
    </row>
    <row r="8" spans="3:16" x14ac:dyDescent="0.2">
      <c r="C8" s="13" t="s">
        <v>22</v>
      </c>
      <c r="D8" s="12">
        <v>0.26679999999999998</v>
      </c>
      <c r="E8" s="12">
        <v>0.27060000000000001</v>
      </c>
      <c r="F8" s="12">
        <v>0.27250000000000002</v>
      </c>
      <c r="G8" s="12">
        <v>0.26669999999999999</v>
      </c>
      <c r="H8" s="12">
        <v>0.25369999999999998</v>
      </c>
      <c r="I8" s="12">
        <v>0.2472</v>
      </c>
      <c r="J8" s="12">
        <v>0.21229999999999999</v>
      </c>
      <c r="K8" s="9">
        <v>0.25600000000000001</v>
      </c>
      <c r="L8" s="9">
        <v>0.25600000000000001</v>
      </c>
      <c r="M8" s="9">
        <v>0.25600000000000001</v>
      </c>
      <c r="N8" s="9">
        <v>0.25600000000000001</v>
      </c>
      <c r="O8" s="9">
        <v>0.25600000000000001</v>
      </c>
      <c r="P8" s="9">
        <v>0.25600000000000001</v>
      </c>
    </row>
    <row r="9" spans="3:16" x14ac:dyDescent="0.2">
      <c r="C9" s="13" t="s">
        <v>23</v>
      </c>
      <c r="D9">
        <f>D8*D6</f>
        <v>9151.24</v>
      </c>
      <c r="E9">
        <f t="shared" ref="E9:P9" si="1">E8*E6</f>
        <v>10084.179599999999</v>
      </c>
      <c r="F9">
        <f t="shared" si="1"/>
        <v>8996.3150000000005</v>
      </c>
      <c r="G9">
        <f t="shared" si="1"/>
        <v>10309.288500000001</v>
      </c>
      <c r="H9">
        <f t="shared" si="1"/>
        <v>10910.114799999999</v>
      </c>
      <c r="I9">
        <f t="shared" si="1"/>
        <v>11310.388800000001</v>
      </c>
      <c r="J9">
        <f t="shared" si="1"/>
        <v>9991.050299999999</v>
      </c>
      <c r="K9">
        <f>K8*K6</f>
        <v>12746.903804252011</v>
      </c>
      <c r="L9">
        <f t="shared" si="1"/>
        <v>13486.780836545124</v>
      </c>
      <c r="M9">
        <f t="shared" si="1"/>
        <v>14269.603044491969</v>
      </c>
      <c r="N9">
        <f t="shared" si="1"/>
        <v>15097.863123542515</v>
      </c>
      <c r="O9">
        <f t="shared" si="1"/>
        <v>15974.198454329904</v>
      </c>
      <c r="P9">
        <f t="shared" si="1"/>
        <v>16901.399500728981</v>
      </c>
    </row>
    <row r="10" spans="3:16" x14ac:dyDescent="0.2">
      <c r="C10" s="13" t="s">
        <v>24</v>
      </c>
      <c r="D10">
        <f>D9*(1-0.27)</f>
        <v>6680.4051999999992</v>
      </c>
      <c r="E10">
        <f t="shared" ref="E10:P10" si="2">E9*(1-0.27)</f>
        <v>7361.4511079999993</v>
      </c>
      <c r="F10">
        <f t="shared" si="2"/>
        <v>6567.3099499999998</v>
      </c>
      <c r="G10">
        <f t="shared" si="2"/>
        <v>7525.7806049999999</v>
      </c>
      <c r="H10">
        <f t="shared" si="2"/>
        <v>7964.3838039999991</v>
      </c>
      <c r="I10">
        <f t="shared" si="2"/>
        <v>8256.5838239999994</v>
      </c>
      <c r="J10">
        <f>J9*(1-0.27)</f>
        <v>7293.4667189999991</v>
      </c>
      <c r="K10">
        <f>K9*(1-0.27)</f>
        <v>9305.2397771039687</v>
      </c>
      <c r="L10">
        <f>L9*(1-0.27)</f>
        <v>9845.3500106779393</v>
      </c>
      <c r="M10">
        <f t="shared" si="2"/>
        <v>10416.810222479136</v>
      </c>
      <c r="N10">
        <f t="shared" si="2"/>
        <v>11021.440080186036</v>
      </c>
      <c r="O10">
        <f t="shared" si="2"/>
        <v>11661.164871660829</v>
      </c>
      <c r="P10">
        <f t="shared" si="2"/>
        <v>12338.021635532155</v>
      </c>
    </row>
    <row r="11" spans="3:16" x14ac:dyDescent="0.2">
      <c r="C11" s="13" t="s">
        <v>25</v>
      </c>
      <c r="D11">
        <v>1086</v>
      </c>
      <c r="E11">
        <v>1365</v>
      </c>
      <c r="F11">
        <v>1536</v>
      </c>
      <c r="G11">
        <v>1452</v>
      </c>
      <c r="H11">
        <v>1260</v>
      </c>
      <c r="I11">
        <v>1128</v>
      </c>
      <c r="J11">
        <v>1075</v>
      </c>
      <c r="K11">
        <f>3.27%*K6</f>
        <v>1628.217790621253</v>
      </c>
      <c r="L11">
        <f>3.27%*L6</f>
        <v>1722.7255209180685</v>
      </c>
      <c r="M11">
        <f t="shared" ref="L11:P11" si="3">3.27%*M6</f>
        <v>1822.7188263862788</v>
      </c>
      <c r="N11">
        <f t="shared" si="3"/>
        <v>1928.5161099212507</v>
      </c>
      <c r="O11">
        <f t="shared" si="3"/>
        <v>2040.4542556897964</v>
      </c>
      <c r="P11">
        <f t="shared" si="3"/>
        <v>2158.8897018509283</v>
      </c>
    </row>
    <row r="12" spans="3:16" x14ac:dyDescent="0.2">
      <c r="C12" s="13" t="s">
        <v>31</v>
      </c>
      <c r="D12">
        <f>D11*100/D6</f>
        <v>3.1661807580174925</v>
      </c>
      <c r="E12">
        <f t="shared" ref="E12:J12" si="4">E11*100/E6</f>
        <v>3.6628562228304622</v>
      </c>
      <c r="F12">
        <f t="shared" si="4"/>
        <v>4.6525716362755194</v>
      </c>
      <c r="G12">
        <f t="shared" si="4"/>
        <v>3.7563057819169576</v>
      </c>
      <c r="H12">
        <f t="shared" si="4"/>
        <v>2.9299600037205842</v>
      </c>
      <c r="I12">
        <f t="shared" si="4"/>
        <v>2.4653582200463346</v>
      </c>
      <c r="J12">
        <f t="shared" si="4"/>
        <v>2.2842693525424451</v>
      </c>
      <c r="K12">
        <v>3.27</v>
      </c>
      <c r="L12">
        <v>3.27</v>
      </c>
      <c r="M12">
        <v>3.27</v>
      </c>
      <c r="N12">
        <v>3.27</v>
      </c>
      <c r="O12">
        <v>3.27</v>
      </c>
      <c r="P12">
        <v>3.27</v>
      </c>
    </row>
    <row r="13" spans="3:16" x14ac:dyDescent="0.2">
      <c r="C13" s="13" t="s">
        <v>33</v>
      </c>
      <c r="D13">
        <v>1500</v>
      </c>
      <c r="E13">
        <v>2100</v>
      </c>
      <c r="F13">
        <v>1200</v>
      </c>
      <c r="G13">
        <v>1400</v>
      </c>
      <c r="H13">
        <v>1500</v>
      </c>
      <c r="I13">
        <v>1900</v>
      </c>
      <c r="J13">
        <v>2100</v>
      </c>
      <c r="K13">
        <f>4.1954*K6/100</f>
        <v>2088.9984461077693</v>
      </c>
      <c r="L13">
        <f t="shared" ref="L13:P13" si="5">4.1954*L6/100</f>
        <v>2210.2515750641173</v>
      </c>
      <c r="M13">
        <f t="shared" si="5"/>
        <v>2338.5426801899066</v>
      </c>
      <c r="N13">
        <f t="shared" si="5"/>
        <v>2474.2802714261825</v>
      </c>
      <c r="O13">
        <f t="shared" si="5"/>
        <v>2617.8965701287375</v>
      </c>
      <c r="P13">
        <f t="shared" si="5"/>
        <v>2769.8488853655608</v>
      </c>
    </row>
    <row r="14" spans="3:16" x14ac:dyDescent="0.2">
      <c r="C14" s="13" t="s">
        <v>35</v>
      </c>
      <c r="D14">
        <f>D13*100/D6</f>
        <v>4.3731778425655978</v>
      </c>
      <c r="E14">
        <f t="shared" ref="E14:J14" si="6">E13*100/E6</f>
        <v>5.6351634197391727</v>
      </c>
      <c r="F14">
        <f t="shared" si="6"/>
        <v>3.6348215908402497</v>
      </c>
      <c r="G14">
        <f t="shared" si="6"/>
        <v>3.6217824343551932</v>
      </c>
      <c r="H14">
        <f t="shared" si="6"/>
        <v>3.488047623476886</v>
      </c>
      <c r="I14">
        <f t="shared" si="6"/>
        <v>4.1526423919220177</v>
      </c>
      <c r="J14">
        <f t="shared" si="6"/>
        <v>4.4622936189201248</v>
      </c>
      <c r="K14">
        <v>4.1900000000000004</v>
      </c>
      <c r="L14">
        <v>4.1900000000000004</v>
      </c>
      <c r="M14">
        <v>4.1900000000000004</v>
      </c>
      <c r="N14">
        <v>4.1900000000000004</v>
      </c>
      <c r="O14">
        <v>4.1900000000000004</v>
      </c>
      <c r="P14">
        <v>4.1900000000000004</v>
      </c>
    </row>
    <row r="15" spans="3:16" x14ac:dyDescent="0.2">
      <c r="C15" s="13" t="s">
        <v>36</v>
      </c>
      <c r="D15">
        <v>24930</v>
      </c>
      <c r="E15">
        <v>20411</v>
      </c>
      <c r="F15">
        <v>19240</v>
      </c>
      <c r="G15">
        <v>22545</v>
      </c>
      <c r="H15">
        <v>22591</v>
      </c>
      <c r="I15">
        <v>26732</v>
      </c>
      <c r="J15">
        <v>25997</v>
      </c>
    </row>
    <row r="16" spans="3:16" x14ac:dyDescent="0.2">
      <c r="C16" s="13" t="s">
        <v>37</v>
      </c>
      <c r="D16">
        <v>16115</v>
      </c>
      <c r="E16">
        <v>11175</v>
      </c>
      <c r="F16">
        <v>10914</v>
      </c>
      <c r="G16">
        <v>12625</v>
      </c>
      <c r="H16">
        <v>11631</v>
      </c>
      <c r="I16">
        <v>13633</v>
      </c>
      <c r="J16">
        <v>14571</v>
      </c>
    </row>
    <row r="17" spans="3:16" x14ac:dyDescent="0.2">
      <c r="C17" s="13" t="s">
        <v>38</v>
      </c>
      <c r="D17">
        <v>64158</v>
      </c>
      <c r="E17">
        <v>65283</v>
      </c>
      <c r="F17">
        <v>66012</v>
      </c>
      <c r="G17">
        <v>69494</v>
      </c>
      <c r="H17">
        <v>66937</v>
      </c>
      <c r="I17">
        <v>70223</v>
      </c>
      <c r="J17">
        <v>74117</v>
      </c>
    </row>
    <row r="18" spans="3:16" x14ac:dyDescent="0.2">
      <c r="C18" s="13" t="s">
        <v>39</v>
      </c>
      <c r="D18" t="s">
        <v>27</v>
      </c>
      <c r="E18" t="s">
        <v>27</v>
      </c>
      <c r="F18">
        <v>44420</v>
      </c>
      <c r="G18">
        <v>44246</v>
      </c>
      <c r="H18">
        <v>42279</v>
      </c>
      <c r="I18">
        <v>44539</v>
      </c>
      <c r="J18">
        <v>46657</v>
      </c>
    </row>
    <row r="19" spans="3:16" x14ac:dyDescent="0.2">
      <c r="C19" s="13" t="s">
        <v>40</v>
      </c>
      <c r="D19" t="s">
        <v>27</v>
      </c>
      <c r="E19" t="s">
        <v>27</v>
      </c>
      <c r="F19">
        <f>F15-F16-F17+F18</f>
        <v>-13266</v>
      </c>
      <c r="G19">
        <f t="shared" ref="G19:J19" si="7">G15-G16-G17+G18</f>
        <v>-15328</v>
      </c>
      <c r="H19">
        <f t="shared" si="7"/>
        <v>-13698</v>
      </c>
      <c r="I19">
        <f t="shared" si="7"/>
        <v>-12585</v>
      </c>
      <c r="J19">
        <f t="shared" si="7"/>
        <v>-16034</v>
      </c>
      <c r="K19">
        <f>K20*K6/100</f>
        <v>-17253.133469427041</v>
      </c>
      <c r="L19">
        <f t="shared" ref="L19:P19" si="8">L20*L6/100</f>
        <v>-18254.568593214393</v>
      </c>
      <c r="M19">
        <f t="shared" si="8"/>
        <v>-19314.130683267449</v>
      </c>
      <c r="N19">
        <f t="shared" si="8"/>
        <v>-20435.193641826096</v>
      </c>
      <c r="O19">
        <f t="shared" si="8"/>
        <v>-21621.327204786372</v>
      </c>
      <c r="P19">
        <f t="shared" si="8"/>
        <v>-22876.308308603871</v>
      </c>
    </row>
    <row r="20" spans="3:16" x14ac:dyDescent="0.2">
      <c r="C20" s="13" t="s">
        <v>41</v>
      </c>
      <c r="D20" t="s">
        <v>27</v>
      </c>
      <c r="E20" t="s">
        <v>27</v>
      </c>
      <c r="F20">
        <f>F19*100/F6</f>
        <v>-40.182952686738957</v>
      </c>
      <c r="G20">
        <f t="shared" ref="G20:J20" si="9">G19*100/G6</f>
        <v>-39.653343681283147</v>
      </c>
      <c r="H20">
        <f>H19*100/H6</f>
        <v>-31.852850897590923</v>
      </c>
      <c r="I20">
        <f t="shared" si="9"/>
        <v>-27.505791843336102</v>
      </c>
      <c r="J20">
        <f t="shared" si="9"/>
        <v>-34.070674231316801</v>
      </c>
      <c r="K20">
        <v>-34.65</v>
      </c>
      <c r="L20">
        <v>-34.65</v>
      </c>
      <c r="M20">
        <v>-34.65</v>
      </c>
      <c r="N20">
        <v>-34.65</v>
      </c>
      <c r="O20">
        <v>-34.65</v>
      </c>
      <c r="P20">
        <v>-34.65</v>
      </c>
    </row>
    <row r="21" spans="3:16" x14ac:dyDescent="0.2">
      <c r="C21" s="13" t="s">
        <v>43</v>
      </c>
      <c r="D21" t="s">
        <v>27</v>
      </c>
      <c r="E21" t="s">
        <v>27</v>
      </c>
      <c r="F21" t="s">
        <v>27</v>
      </c>
      <c r="G21">
        <f>G19-F19</f>
        <v>-2062</v>
      </c>
      <c r="H21">
        <f t="shared" ref="H21:P21" si="10">H19-G19</f>
        <v>1630</v>
      </c>
      <c r="I21">
        <f t="shared" si="10"/>
        <v>1113</v>
      </c>
      <c r="J21">
        <f t="shared" si="10"/>
        <v>-3449</v>
      </c>
      <c r="K21">
        <f>K19-J19</f>
        <v>-1219.1334694270408</v>
      </c>
      <c r="L21">
        <f t="shared" si="10"/>
        <v>-1001.4351237873525</v>
      </c>
      <c r="M21">
        <f>M19-L19</f>
        <v>-1059.5620900530557</v>
      </c>
      <c r="N21">
        <f t="shared" si="10"/>
        <v>-1121.0629585586466</v>
      </c>
      <c r="O21">
        <f t="shared" si="10"/>
        <v>-1186.1335629602763</v>
      </c>
      <c r="P21">
        <f t="shared" si="10"/>
        <v>-1254.9811038174994</v>
      </c>
    </row>
    <row r="22" spans="3:16" x14ac:dyDescent="0.2">
      <c r="C22" s="13" t="s">
        <v>44</v>
      </c>
      <c r="D22" s="13"/>
      <c r="E22" s="13"/>
      <c r="F22" s="13"/>
      <c r="G22" s="13">
        <f t="shared" ref="G22:P22" si="11">G9*(1-G8/100) + G11-G13-G21</f>
        <v>12395.793627570501</v>
      </c>
      <c r="H22" s="13">
        <f t="shared" si="11"/>
        <v>9012.4358387523989</v>
      </c>
      <c r="I22" s="13">
        <f t="shared" si="11"/>
        <v>9397.4295188863998</v>
      </c>
      <c r="J22" s="13">
        <f t="shared" si="11"/>
        <v>12393.8393002131</v>
      </c>
      <c r="K22" s="13">
        <f t="shared" si="11"/>
        <v>13472.624544453651</v>
      </c>
      <c r="L22" s="13">
        <f t="shared" si="11"/>
        <v>13966.163747244871</v>
      </c>
      <c r="M22" s="13">
        <f t="shared" si="11"/>
        <v>14776.811096947498</v>
      </c>
      <c r="N22" s="13">
        <f t="shared" si="11"/>
        <v>15634.51139099996</v>
      </c>
      <c r="O22" s="13">
        <f t="shared" si="11"/>
        <v>16541.995754808155</v>
      </c>
      <c r="P22" s="13">
        <f t="shared" si="11"/>
        <v>17502.15383830998</v>
      </c>
    </row>
    <row r="23" spans="3:16" x14ac:dyDescent="0.2">
      <c r="C23" s="13" t="s">
        <v>46</v>
      </c>
      <c r="G23">
        <v>6.9</v>
      </c>
      <c r="H23">
        <v>6.9</v>
      </c>
      <c r="I23">
        <v>6.9</v>
      </c>
      <c r="J23">
        <v>6.9</v>
      </c>
      <c r="K23">
        <v>6.9</v>
      </c>
      <c r="L23">
        <v>6.9</v>
      </c>
      <c r="M23">
        <v>6.9</v>
      </c>
      <c r="N23">
        <v>6.9</v>
      </c>
      <c r="O23">
        <v>6.9</v>
      </c>
      <c r="P23">
        <v>6.9</v>
      </c>
    </row>
    <row r="24" spans="3:16" x14ac:dyDescent="0.2">
      <c r="C24" s="13" t="s">
        <v>17</v>
      </c>
      <c r="K24">
        <v>1</v>
      </c>
      <c r="L24">
        <v>2</v>
      </c>
      <c r="M24">
        <v>3</v>
      </c>
      <c r="N24">
        <v>4</v>
      </c>
      <c r="O24">
        <v>5</v>
      </c>
      <c r="P24">
        <v>6</v>
      </c>
    </row>
    <row r="25" spans="3:16" x14ac:dyDescent="0.2">
      <c r="C25" s="13" t="s">
        <v>47</v>
      </c>
      <c r="D25" s="13"/>
      <c r="E25" s="13"/>
      <c r="F25" s="13"/>
      <c r="G25" s="13"/>
      <c r="H25" s="13"/>
      <c r="I25" s="13"/>
      <c r="J25" s="13"/>
      <c r="K25" s="13">
        <f>K22/(1+K23/100)^K24</f>
        <v>12603.016412023995</v>
      </c>
      <c r="L25" s="13">
        <f t="shared" ref="L25:P25" si="12">L22/(1+L23/100)^L24</f>
        <v>12221.421405915036</v>
      </c>
      <c r="M25" s="13">
        <f t="shared" si="12"/>
        <v>12096.16231353588</v>
      </c>
      <c r="N25" s="13">
        <f t="shared" si="12"/>
        <v>11972.187019473018</v>
      </c>
      <c r="O25" s="13">
        <f t="shared" si="12"/>
        <v>11849.482365894268</v>
      </c>
      <c r="P25" s="13">
        <f t="shared" si="12"/>
        <v>11728.035329823952</v>
      </c>
    </row>
    <row r="27" spans="3:16" x14ac:dyDescent="0.2">
      <c r="C27" s="14" t="s">
        <v>52</v>
      </c>
      <c r="D27" s="14"/>
      <c r="E27" s="14">
        <f>SUM(K25:P25)+E36</f>
        <v>316604.91783483821</v>
      </c>
    </row>
    <row r="28" spans="3:16" x14ac:dyDescent="0.2">
      <c r="C28" s="14" t="s">
        <v>54</v>
      </c>
      <c r="D28" s="14"/>
      <c r="E28" s="14">
        <v>280775.91783483821</v>
      </c>
    </row>
    <row r="29" spans="3:16" x14ac:dyDescent="0.2">
      <c r="C29" s="14" t="s">
        <v>56</v>
      </c>
      <c r="D29" s="14"/>
      <c r="E29" s="14">
        <v>4313</v>
      </c>
    </row>
    <row r="31" spans="3:16" x14ac:dyDescent="0.2">
      <c r="C31" s="14" t="s">
        <v>57</v>
      </c>
      <c r="D31" s="14"/>
      <c r="E31" s="14">
        <f>E28/E29</f>
        <v>65.099911392264829</v>
      </c>
    </row>
    <row r="34" spans="3:12" x14ac:dyDescent="0.2">
      <c r="C34" t="s">
        <v>49</v>
      </c>
      <c r="F34">
        <f>E35/(0.069-0.02)</f>
        <v>364330.54928726895</v>
      </c>
      <c r="I34" t="s">
        <v>53</v>
      </c>
    </row>
    <row r="35" spans="3:12" x14ac:dyDescent="0.2">
      <c r="C35" t="s">
        <v>50</v>
      </c>
      <c r="E35">
        <f>P22*(1+0.02)</f>
        <v>17852.19691507618</v>
      </c>
      <c r="I35">
        <f>E27+10828-46657</f>
        <v>280775.91783483821</v>
      </c>
    </row>
    <row r="36" spans="3:12" x14ac:dyDescent="0.2">
      <c r="C36" t="s">
        <v>51</v>
      </c>
      <c r="E36">
        <f>F34/(1+0.069)^6</f>
        <v>244134.61298817204</v>
      </c>
    </row>
    <row r="37" spans="3:12" x14ac:dyDescent="0.2">
      <c r="C37" t="s">
        <v>28</v>
      </c>
      <c r="F37">
        <f>SUM(E7:J7)/6</f>
        <v>5.8043666419315847E-2</v>
      </c>
      <c r="I37" t="s">
        <v>55</v>
      </c>
      <c r="L37">
        <v>4313</v>
      </c>
    </row>
    <row r="38" spans="3:12" x14ac:dyDescent="0.2">
      <c r="C38" t="s">
        <v>29</v>
      </c>
      <c r="E38">
        <f>SUM(D8:J8)/7</f>
        <v>0.25568571428571429</v>
      </c>
    </row>
    <row r="39" spans="3:12" x14ac:dyDescent="0.2">
      <c r="C39" t="s">
        <v>30</v>
      </c>
    </row>
    <row r="40" spans="3:12" x14ac:dyDescent="0.2">
      <c r="C40" t="s">
        <v>32</v>
      </c>
      <c r="E40">
        <f>SUM(D12:J12)/7</f>
        <v>3.2739288536213991</v>
      </c>
    </row>
    <row r="41" spans="3:12" x14ac:dyDescent="0.2">
      <c r="C41" t="s">
        <v>34</v>
      </c>
      <c r="E41">
        <f>SUM(D14:J14)/7</f>
        <v>4.1954184174027489</v>
      </c>
    </row>
    <row r="42" spans="3:12" x14ac:dyDescent="0.2">
      <c r="C42" t="s">
        <v>42</v>
      </c>
      <c r="E42">
        <f>SUM(F20:J20)/5</f>
        <v>-34.653122668053186</v>
      </c>
    </row>
    <row r="44" spans="3:12" x14ac:dyDescent="0.2">
      <c r="C44" t="s">
        <v>45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Outline</vt:lpstr>
      <vt:lpstr>1. BorgWarner</vt:lpstr>
      <vt:lpstr>2. CocaCola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Krishnan, Advaith</dc:creator>
  <cp:lastModifiedBy>Krishnan, Advaith</cp:lastModifiedBy>
  <dcterms:created xsi:type="dcterms:W3CDTF">2026-01-09T12:33:02Z</dcterms:created>
  <dcterms:modified xsi:type="dcterms:W3CDTF">2026-01-16T09:16:37Z</dcterms:modified>
</cp:coreProperties>
</file>