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VAITH1/Desktop/Advaith /"/>
    </mc:Choice>
  </mc:AlternateContent>
  <xr:revisionPtr revIDLastSave="0" documentId="13_ncr:1_{9B8655E4-9E31-EE49-9A0F-058D12D02598}" xr6:coauthVersionLast="47" xr6:coauthVersionMax="47" xr10:uidLastSave="{00000000-0000-0000-0000-000000000000}"/>
  <bookViews>
    <workbookView xWindow="0" yWindow="780" windowWidth="34200" windowHeight="19320" activeTab="3" xr2:uid="{4E3DFCD1-A837-294D-B1BA-D9EB340B448C}"/>
  </bookViews>
  <sheets>
    <sheet name="Income Statement" sheetId="1" r:id="rId1"/>
    <sheet name="Balance Sheet" sheetId="2" r:id="rId2"/>
    <sheet name="Cash Flow" sheetId="3" r:id="rId3"/>
    <sheet name="KPIs &amp; Drivers" sheetId="4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I5" i="2"/>
  <c r="H5" i="2"/>
  <c r="J10" i="1"/>
  <c r="J44" i="1"/>
  <c r="J43" i="1"/>
  <c r="J42" i="1"/>
  <c r="J41" i="1"/>
  <c r="J40" i="1"/>
  <c r="J36" i="1"/>
  <c r="J35" i="1"/>
  <c r="J34" i="1"/>
  <c r="J33" i="1"/>
  <c r="J32" i="1"/>
  <c r="J31" i="1"/>
  <c r="J27" i="1"/>
  <c r="J26" i="1"/>
  <c r="J25" i="1"/>
  <c r="J24" i="1"/>
  <c r="J23" i="1"/>
  <c r="I10" i="1"/>
  <c r="I44" i="1"/>
  <c r="I43" i="1"/>
  <c r="I42" i="1"/>
  <c r="I41" i="1"/>
  <c r="I40" i="1"/>
  <c r="I36" i="1"/>
  <c r="I35" i="1"/>
  <c r="I34" i="1"/>
  <c r="I33" i="1"/>
  <c r="I32" i="1"/>
  <c r="I31" i="1"/>
  <c r="I27" i="1"/>
  <c r="I26" i="1"/>
  <c r="I25" i="1"/>
  <c r="I24" i="1"/>
  <c r="I23" i="1"/>
  <c r="H44" i="1"/>
  <c r="H43" i="1"/>
  <c r="H35" i="1"/>
  <c r="H34" i="1"/>
  <c r="H23" i="1"/>
  <c r="H40" i="1"/>
  <c r="H31" i="1"/>
  <c r="H24" i="1"/>
  <c r="H10" i="1"/>
  <c r="H25" i="1"/>
  <c r="H42" i="1"/>
  <c r="H41" i="1"/>
  <c r="H36" i="1"/>
  <c r="H33" i="1"/>
  <c r="H32" i="1"/>
  <c r="H27" i="1"/>
  <c r="H26" i="1"/>
  <c r="J6" i="1"/>
  <c r="J5" i="1"/>
  <c r="I6" i="1"/>
  <c r="I5" i="1"/>
  <c r="H6" i="1"/>
  <c r="H5" i="1"/>
  <c r="H6" i="2" l="1"/>
  <c r="I6" i="2" s="1"/>
  <c r="J6" i="2" s="1"/>
  <c r="C45" i="4"/>
  <c r="D45" i="4"/>
  <c r="E45" i="4"/>
  <c r="F45" i="4"/>
  <c r="G45" i="4"/>
  <c r="B45" i="4"/>
  <c r="C44" i="4"/>
  <c r="D44" i="4"/>
  <c r="E44" i="4"/>
  <c r="F44" i="4"/>
  <c r="G44" i="4"/>
  <c r="B44" i="4"/>
  <c r="C42" i="4"/>
  <c r="D42" i="4"/>
  <c r="E42" i="4"/>
  <c r="F42" i="4"/>
  <c r="G42" i="4"/>
  <c r="H42" i="4"/>
  <c r="I42" i="4"/>
  <c r="J42" i="4"/>
  <c r="B42" i="4"/>
  <c r="C41" i="4"/>
  <c r="D41" i="4"/>
  <c r="E41" i="4"/>
  <c r="F41" i="4"/>
  <c r="F43" i="4" s="1"/>
  <c r="G41" i="4"/>
  <c r="B41" i="4"/>
  <c r="C17" i="4"/>
  <c r="D17" i="4"/>
  <c r="E17" i="4"/>
  <c r="F17" i="4"/>
  <c r="G17" i="4"/>
  <c r="B17" i="4"/>
  <c r="C13" i="4"/>
  <c r="C16" i="4" s="1"/>
  <c r="D13" i="4"/>
  <c r="D15" i="4" s="1"/>
  <c r="E13" i="4"/>
  <c r="E22" i="4" s="1"/>
  <c r="F13" i="4"/>
  <c r="F22" i="4" s="1"/>
  <c r="G13" i="4"/>
  <c r="G22" i="4" s="1"/>
  <c r="B13" i="4"/>
  <c r="B16" i="4" s="1"/>
  <c r="E9" i="4"/>
  <c r="F9" i="4"/>
  <c r="G9" i="4"/>
  <c r="H9" i="4"/>
  <c r="I9" i="4"/>
  <c r="J9" i="4"/>
  <c r="D9" i="4"/>
  <c r="D8" i="4"/>
  <c r="E8" i="4"/>
  <c r="F8" i="4"/>
  <c r="G8" i="4"/>
  <c r="H8" i="4"/>
  <c r="I8" i="4"/>
  <c r="J8" i="4"/>
  <c r="C8" i="4"/>
  <c r="H27" i="3"/>
  <c r="I27" i="3" s="1"/>
  <c r="J27" i="3" s="1"/>
  <c r="H26" i="3"/>
  <c r="I26" i="3" s="1"/>
  <c r="H11" i="3"/>
  <c r="I11" i="3" s="1"/>
  <c r="J11" i="3" s="1"/>
  <c r="J10" i="3"/>
  <c r="I10" i="3"/>
  <c r="H7" i="3"/>
  <c r="I7" i="3" s="1"/>
  <c r="J7" i="3" s="1"/>
  <c r="C53" i="3"/>
  <c r="D53" i="3"/>
  <c r="E53" i="3"/>
  <c r="F53" i="3"/>
  <c r="G53" i="3"/>
  <c r="B53" i="3"/>
  <c r="C52" i="3"/>
  <c r="D52" i="3"/>
  <c r="E52" i="3"/>
  <c r="F52" i="3"/>
  <c r="G52" i="3"/>
  <c r="B52" i="3"/>
  <c r="C42" i="3"/>
  <c r="D42" i="3"/>
  <c r="E42" i="3"/>
  <c r="F42" i="3"/>
  <c r="G42" i="3"/>
  <c r="H42" i="3"/>
  <c r="I42" i="3"/>
  <c r="J42" i="3"/>
  <c r="B42" i="3"/>
  <c r="C33" i="3"/>
  <c r="D33" i="3"/>
  <c r="E33" i="3"/>
  <c r="F33" i="3"/>
  <c r="G33" i="3"/>
  <c r="B33" i="3"/>
  <c r="H38" i="2"/>
  <c r="I38" i="2" s="1"/>
  <c r="J38" i="2" s="1"/>
  <c r="H35" i="2"/>
  <c r="H29" i="2"/>
  <c r="I29" i="2" s="1"/>
  <c r="J29" i="2" s="1"/>
  <c r="H21" i="2"/>
  <c r="I21" i="2" s="1"/>
  <c r="J21" i="2" s="1"/>
  <c r="H20" i="2"/>
  <c r="I20" i="2" s="1"/>
  <c r="J20" i="2" s="1"/>
  <c r="H19" i="2"/>
  <c r="I19" i="2" s="1"/>
  <c r="J19" i="2" s="1"/>
  <c r="H17" i="2"/>
  <c r="I17" i="2" s="1"/>
  <c r="J17" i="2" s="1"/>
  <c r="H16" i="2"/>
  <c r="I16" i="2" s="1"/>
  <c r="J16" i="2" s="1"/>
  <c r="H15" i="2"/>
  <c r="I15" i="2" s="1"/>
  <c r="J15" i="2" s="1"/>
  <c r="H14" i="2"/>
  <c r="I14" i="2" s="1"/>
  <c r="C47" i="2"/>
  <c r="D47" i="2"/>
  <c r="E47" i="2"/>
  <c r="F47" i="2"/>
  <c r="G47" i="2"/>
  <c r="B47" i="2"/>
  <c r="C39" i="2"/>
  <c r="D39" i="2"/>
  <c r="E39" i="2"/>
  <c r="E41" i="2" s="1"/>
  <c r="F39" i="2"/>
  <c r="G39" i="2"/>
  <c r="B39" i="2"/>
  <c r="C32" i="2"/>
  <c r="D32" i="2"/>
  <c r="E32" i="2"/>
  <c r="F32" i="2"/>
  <c r="G32" i="2"/>
  <c r="B32" i="2"/>
  <c r="C22" i="2"/>
  <c r="D22" i="2"/>
  <c r="E22" i="2"/>
  <c r="F22" i="2"/>
  <c r="G22" i="2"/>
  <c r="B22" i="2"/>
  <c r="C10" i="2"/>
  <c r="D10" i="2"/>
  <c r="D24" i="2" s="1"/>
  <c r="E10" i="2"/>
  <c r="E24" i="2" s="1"/>
  <c r="F10" i="2"/>
  <c r="F24" i="2" s="1"/>
  <c r="G10" i="2"/>
  <c r="B10" i="2"/>
  <c r="H64" i="1"/>
  <c r="I64" i="1" s="1"/>
  <c r="H63" i="1"/>
  <c r="I63" i="1" s="1"/>
  <c r="J63" i="1" s="1"/>
  <c r="H54" i="1"/>
  <c r="I54" i="1" s="1"/>
  <c r="J54" i="1" s="1"/>
  <c r="H53" i="1"/>
  <c r="I53" i="1" s="1"/>
  <c r="J53" i="1" s="1"/>
  <c r="H52" i="1"/>
  <c r="I52" i="1" s="1"/>
  <c r="H14" i="1"/>
  <c r="I14" i="1" s="1"/>
  <c r="H12" i="1"/>
  <c r="I12" i="1" s="1"/>
  <c r="J12" i="1" s="1"/>
  <c r="D86" i="1"/>
  <c r="E86" i="1"/>
  <c r="F86" i="1"/>
  <c r="G86" i="1"/>
  <c r="C86" i="1"/>
  <c r="C82" i="1"/>
  <c r="D82" i="1"/>
  <c r="E82" i="1"/>
  <c r="F82" i="1"/>
  <c r="G82" i="1"/>
  <c r="B82" i="1"/>
  <c r="C81" i="1"/>
  <c r="D81" i="1"/>
  <c r="E81" i="1"/>
  <c r="F81" i="1"/>
  <c r="G81" i="1"/>
  <c r="B81" i="1"/>
  <c r="C80" i="1"/>
  <c r="D80" i="1"/>
  <c r="E80" i="1"/>
  <c r="F80" i="1"/>
  <c r="G80" i="1"/>
  <c r="B80" i="1"/>
  <c r="C75" i="1"/>
  <c r="D75" i="1"/>
  <c r="E75" i="1"/>
  <c r="F75" i="1"/>
  <c r="G75" i="1"/>
  <c r="B75" i="1"/>
  <c r="C74" i="1"/>
  <c r="D74" i="1"/>
  <c r="E74" i="1"/>
  <c r="F74" i="1"/>
  <c r="G74" i="1"/>
  <c r="H74" i="1"/>
  <c r="B74" i="1"/>
  <c r="C73" i="1"/>
  <c r="D73" i="1"/>
  <c r="E73" i="1"/>
  <c r="F73" i="1"/>
  <c r="G73" i="1"/>
  <c r="B73" i="1"/>
  <c r="C72" i="1"/>
  <c r="D72" i="1"/>
  <c r="E72" i="1"/>
  <c r="F72" i="1"/>
  <c r="G72" i="1"/>
  <c r="B72" i="1"/>
  <c r="C71" i="1"/>
  <c r="C69" i="1" s="1"/>
  <c r="C8" i="3" s="1"/>
  <c r="D71" i="1"/>
  <c r="E71" i="1"/>
  <c r="F71" i="1"/>
  <c r="G71" i="1"/>
  <c r="B71" i="1"/>
  <c r="C70" i="1"/>
  <c r="D70" i="1"/>
  <c r="E70" i="1"/>
  <c r="E69" i="1" s="1"/>
  <c r="E36" i="4" s="1"/>
  <c r="F70" i="1"/>
  <c r="G70" i="1"/>
  <c r="B70" i="1"/>
  <c r="C55" i="1"/>
  <c r="D55" i="1"/>
  <c r="E55" i="1"/>
  <c r="F55" i="1"/>
  <c r="G55" i="1"/>
  <c r="B55" i="1"/>
  <c r="C48" i="1"/>
  <c r="D48" i="1"/>
  <c r="E48" i="1"/>
  <c r="F48" i="1"/>
  <c r="G48" i="1"/>
  <c r="B48" i="1"/>
  <c r="C18" i="1"/>
  <c r="C50" i="1" s="1"/>
  <c r="D18" i="1"/>
  <c r="D50" i="1" s="1"/>
  <c r="E18" i="1"/>
  <c r="E79" i="1" s="1"/>
  <c r="E28" i="4" s="1"/>
  <c r="F18" i="1"/>
  <c r="F79" i="1" s="1"/>
  <c r="F28" i="4" s="1"/>
  <c r="G18" i="1"/>
  <c r="B18" i="1"/>
  <c r="B29" i="4" s="1"/>
  <c r="E49" i="2" l="1"/>
  <c r="C43" i="4"/>
  <c r="B41" i="2"/>
  <c r="B49" i="2" s="1"/>
  <c r="B24" i="2"/>
  <c r="G24" i="2"/>
  <c r="G52" i="2" s="1"/>
  <c r="C41" i="2"/>
  <c r="C49" i="2" s="1"/>
  <c r="C52" i="2" s="1"/>
  <c r="D22" i="4"/>
  <c r="D29" i="4"/>
  <c r="C29" i="4"/>
  <c r="D69" i="1"/>
  <c r="D8" i="3" s="1"/>
  <c r="E37" i="4"/>
  <c r="E38" i="4"/>
  <c r="G50" i="1"/>
  <c r="G76" i="1" s="1"/>
  <c r="G84" i="1" s="1"/>
  <c r="G31" i="4" s="1"/>
  <c r="B69" i="1"/>
  <c r="B52" i="2"/>
  <c r="G29" i="4"/>
  <c r="G69" i="1"/>
  <c r="H55" i="1"/>
  <c r="F69" i="1"/>
  <c r="F29" i="4"/>
  <c r="C36" i="4"/>
  <c r="C38" i="4" s="1"/>
  <c r="H10" i="3"/>
  <c r="G15" i="4"/>
  <c r="C22" i="4"/>
  <c r="E29" i="4"/>
  <c r="D43" i="4"/>
  <c r="E43" i="4"/>
  <c r="E8" i="3"/>
  <c r="C24" i="2"/>
  <c r="H7" i="1"/>
  <c r="F41" i="2"/>
  <c r="F49" i="2" s="1"/>
  <c r="F52" i="2" s="1"/>
  <c r="D41" i="2"/>
  <c r="D49" i="2" s="1"/>
  <c r="D52" i="2" s="1"/>
  <c r="B22" i="4"/>
  <c r="B43" i="4"/>
  <c r="B50" i="1"/>
  <c r="B83" i="1" s="1"/>
  <c r="B30" i="4" s="1"/>
  <c r="G41" i="2"/>
  <c r="G49" i="2" s="1"/>
  <c r="G43" i="4"/>
  <c r="G14" i="4"/>
  <c r="F15" i="4"/>
  <c r="E14" i="4"/>
  <c r="F16" i="4"/>
  <c r="C14" i="4"/>
  <c r="B15" i="4"/>
  <c r="C15" i="4"/>
  <c r="D16" i="4"/>
  <c r="F14" i="4"/>
  <c r="G16" i="4"/>
  <c r="E15" i="4"/>
  <c r="D14" i="4"/>
  <c r="E16" i="4"/>
  <c r="J26" i="3"/>
  <c r="J14" i="2"/>
  <c r="E52" i="2"/>
  <c r="I35" i="2"/>
  <c r="I55" i="1"/>
  <c r="J52" i="1"/>
  <c r="J55" i="1" s="1"/>
  <c r="J14" i="1"/>
  <c r="J74" i="1" s="1"/>
  <c r="I74" i="1"/>
  <c r="J64" i="1"/>
  <c r="J7" i="1"/>
  <c r="C83" i="1"/>
  <c r="C30" i="4" s="1"/>
  <c r="C57" i="1"/>
  <c r="C60" i="1" s="1"/>
  <c r="C5" i="3" s="1"/>
  <c r="C23" i="3" s="1"/>
  <c r="C46" i="3" s="1"/>
  <c r="C76" i="1"/>
  <c r="C84" i="1" s="1"/>
  <c r="C31" i="4" s="1"/>
  <c r="D76" i="1"/>
  <c r="D84" i="1" s="1"/>
  <c r="D31" i="4" s="1"/>
  <c r="D83" i="1"/>
  <c r="D30" i="4" s="1"/>
  <c r="D57" i="1"/>
  <c r="D60" i="1" s="1"/>
  <c r="D5" i="3" s="1"/>
  <c r="B57" i="1"/>
  <c r="B60" i="1" s="1"/>
  <c r="B5" i="3" s="1"/>
  <c r="F50" i="1"/>
  <c r="D79" i="1"/>
  <c r="D28" i="4" s="1"/>
  <c r="E50" i="1"/>
  <c r="B79" i="1"/>
  <c r="B28" i="4" s="1"/>
  <c r="C79" i="1"/>
  <c r="C28" i="4" s="1"/>
  <c r="G79" i="1"/>
  <c r="G28" i="4" s="1"/>
  <c r="H11" i="1" l="1"/>
  <c r="H37" i="1"/>
  <c r="H81" i="1" s="1"/>
  <c r="H15" i="1"/>
  <c r="H86" i="1"/>
  <c r="D23" i="3"/>
  <c r="G57" i="1"/>
  <c r="G60" i="1" s="1"/>
  <c r="G5" i="3" s="1"/>
  <c r="G83" i="1"/>
  <c r="G30" i="4" s="1"/>
  <c r="D36" i="4"/>
  <c r="D38" i="4" s="1"/>
  <c r="H13" i="1"/>
  <c r="H70" i="1" s="1"/>
  <c r="D46" i="3"/>
  <c r="D51" i="3"/>
  <c r="D54" i="3" s="1"/>
  <c r="D55" i="3" s="1"/>
  <c r="D33" i="4" s="1"/>
  <c r="B8" i="3"/>
  <c r="B23" i="3" s="1"/>
  <c r="B36" i="4"/>
  <c r="C51" i="3"/>
  <c r="C54" i="3" s="1"/>
  <c r="C55" i="3" s="1"/>
  <c r="C33" i="4" s="1"/>
  <c r="H7" i="2"/>
  <c r="H16" i="3" s="1"/>
  <c r="H9" i="2"/>
  <c r="H17" i="3" s="1"/>
  <c r="H30" i="3"/>
  <c r="H53" i="3" s="1"/>
  <c r="H36" i="2"/>
  <c r="H39" i="2" s="1"/>
  <c r="H28" i="2"/>
  <c r="H13" i="4"/>
  <c r="H29" i="3"/>
  <c r="H30" i="2"/>
  <c r="H8" i="2"/>
  <c r="H27" i="2"/>
  <c r="H19" i="3" s="1"/>
  <c r="H44" i="4"/>
  <c r="H17" i="4"/>
  <c r="H18" i="2"/>
  <c r="H22" i="2" s="1"/>
  <c r="F36" i="4"/>
  <c r="F8" i="3"/>
  <c r="H9" i="3"/>
  <c r="G36" i="4"/>
  <c r="G8" i="3"/>
  <c r="G23" i="3"/>
  <c r="J9" i="2"/>
  <c r="J17" i="4"/>
  <c r="J18" i="2"/>
  <c r="J22" i="2" s="1"/>
  <c r="J29" i="3"/>
  <c r="J52" i="3" s="1"/>
  <c r="J13" i="4"/>
  <c r="J7" i="2"/>
  <c r="J36" i="2"/>
  <c r="J27" i="2"/>
  <c r="J30" i="3"/>
  <c r="J53" i="3" s="1"/>
  <c r="J28" i="2"/>
  <c r="J30" i="2"/>
  <c r="J8" i="2"/>
  <c r="H71" i="1"/>
  <c r="I7" i="1"/>
  <c r="B76" i="1"/>
  <c r="B84" i="1" s="1"/>
  <c r="B31" i="4" s="1"/>
  <c r="C37" i="4"/>
  <c r="J35" i="2"/>
  <c r="J11" i="1"/>
  <c r="J13" i="1"/>
  <c r="J70" i="1" s="1"/>
  <c r="J15" i="1"/>
  <c r="J9" i="3"/>
  <c r="H16" i="1"/>
  <c r="H18" i="1" s="1"/>
  <c r="H29" i="4" s="1"/>
  <c r="H72" i="1"/>
  <c r="E76" i="1"/>
  <c r="E84" i="1" s="1"/>
  <c r="E31" i="4" s="1"/>
  <c r="E83" i="1"/>
  <c r="E30" i="4" s="1"/>
  <c r="E57" i="1"/>
  <c r="E60" i="1" s="1"/>
  <c r="E5" i="3" s="1"/>
  <c r="E23" i="3" s="1"/>
  <c r="F76" i="1"/>
  <c r="F84" i="1" s="1"/>
  <c r="F31" i="4" s="1"/>
  <c r="F83" i="1"/>
  <c r="F30" i="4" s="1"/>
  <c r="F57" i="1"/>
  <c r="F60" i="1" s="1"/>
  <c r="F5" i="3" s="1"/>
  <c r="D66" i="1"/>
  <c r="D85" i="1"/>
  <c r="D32" i="4" s="1"/>
  <c r="D65" i="1"/>
  <c r="B85" i="1"/>
  <c r="B32" i="4" s="1"/>
  <c r="B65" i="1"/>
  <c r="B66" i="1"/>
  <c r="C85" i="1"/>
  <c r="C32" i="4" s="1"/>
  <c r="C65" i="1"/>
  <c r="C66" i="1"/>
  <c r="G66" i="1"/>
  <c r="G85" i="1"/>
  <c r="G32" i="4" s="1"/>
  <c r="G65" i="1"/>
  <c r="I15" i="1" l="1"/>
  <c r="H45" i="1"/>
  <c r="H82" i="1" s="1"/>
  <c r="H73" i="1"/>
  <c r="H69" i="1" s="1"/>
  <c r="J45" i="4"/>
  <c r="I72" i="1"/>
  <c r="D37" i="4"/>
  <c r="J39" i="2"/>
  <c r="J86" i="1"/>
  <c r="I9" i="3"/>
  <c r="I73" i="1"/>
  <c r="I13" i="1"/>
  <c r="I70" i="1" s="1"/>
  <c r="I86" i="1"/>
  <c r="I71" i="1"/>
  <c r="I11" i="1"/>
  <c r="H21" i="3"/>
  <c r="B51" i="3"/>
  <c r="B54" i="3" s="1"/>
  <c r="B55" i="3" s="1"/>
  <c r="B33" i="4" s="1"/>
  <c r="B46" i="3"/>
  <c r="B48" i="3" s="1"/>
  <c r="C47" i="3" s="1"/>
  <c r="C48" i="3" s="1"/>
  <c r="D47" i="3" s="1"/>
  <c r="D48" i="3" s="1"/>
  <c r="E47" i="3" s="1"/>
  <c r="H52" i="3"/>
  <c r="H33" i="3"/>
  <c r="J15" i="4"/>
  <c r="J22" i="4"/>
  <c r="J16" i="4"/>
  <c r="F38" i="4"/>
  <c r="F37" i="4"/>
  <c r="E51" i="3"/>
  <c r="E54" i="3" s="1"/>
  <c r="E55" i="3" s="1"/>
  <c r="E33" i="4" s="1"/>
  <c r="E46" i="3"/>
  <c r="G51" i="3"/>
  <c r="G54" i="3" s="1"/>
  <c r="G55" i="3" s="1"/>
  <c r="G33" i="4" s="1"/>
  <c r="G46" i="3"/>
  <c r="H22" i="4"/>
  <c r="H16" i="4"/>
  <c r="H14" i="4"/>
  <c r="H15" i="4"/>
  <c r="H75" i="1"/>
  <c r="H32" i="2"/>
  <c r="H41" i="2" s="1"/>
  <c r="H20" i="3"/>
  <c r="B38" i="4"/>
  <c r="B37" i="4"/>
  <c r="J16" i="1"/>
  <c r="J18" i="1" s="1"/>
  <c r="J29" i="4" s="1"/>
  <c r="G37" i="4"/>
  <c r="G38" i="4"/>
  <c r="H45" i="4"/>
  <c r="J33" i="3"/>
  <c r="J32" i="2"/>
  <c r="F23" i="3"/>
  <c r="I17" i="4"/>
  <c r="I30" i="3"/>
  <c r="I53" i="3" s="1"/>
  <c r="I36" i="2"/>
  <c r="I39" i="2" s="1"/>
  <c r="I28" i="2"/>
  <c r="J20" i="3" s="1"/>
  <c r="I9" i="2"/>
  <c r="I17" i="3" s="1"/>
  <c r="I8" i="2"/>
  <c r="I29" i="3"/>
  <c r="I13" i="4"/>
  <c r="I14" i="4" s="1"/>
  <c r="I7" i="2"/>
  <c r="I16" i="3" s="1"/>
  <c r="I18" i="2"/>
  <c r="I22" i="2" s="1"/>
  <c r="I27" i="2"/>
  <c r="I19" i="3" s="1"/>
  <c r="I30" i="2"/>
  <c r="J44" i="4"/>
  <c r="H18" i="3"/>
  <c r="J37" i="1"/>
  <c r="J81" i="1" s="1"/>
  <c r="J72" i="1"/>
  <c r="J73" i="1"/>
  <c r="J45" i="1"/>
  <c r="J82" i="1" s="1"/>
  <c r="J71" i="1"/>
  <c r="H79" i="1"/>
  <c r="H28" i="4" s="1"/>
  <c r="F66" i="1"/>
  <c r="F85" i="1"/>
  <c r="F32" i="4" s="1"/>
  <c r="F65" i="1"/>
  <c r="E66" i="1"/>
  <c r="E85" i="1"/>
  <c r="E32" i="4" s="1"/>
  <c r="E65" i="1"/>
  <c r="I21" i="3" l="1"/>
  <c r="J41" i="2"/>
  <c r="J79" i="1"/>
  <c r="J28" i="4" s="1"/>
  <c r="I18" i="3"/>
  <c r="H28" i="1"/>
  <c r="H48" i="1" s="1"/>
  <c r="H50" i="1" s="1"/>
  <c r="I37" i="1"/>
  <c r="I81" i="1" s="1"/>
  <c r="I16" i="1"/>
  <c r="I18" i="1" s="1"/>
  <c r="I29" i="4" s="1"/>
  <c r="J16" i="3"/>
  <c r="I45" i="1"/>
  <c r="I82" i="1" s="1"/>
  <c r="J17" i="3"/>
  <c r="I28" i="1"/>
  <c r="F51" i="3"/>
  <c r="F54" i="3" s="1"/>
  <c r="F55" i="3" s="1"/>
  <c r="F33" i="4" s="1"/>
  <c r="F46" i="3"/>
  <c r="J18" i="3"/>
  <c r="J19" i="3"/>
  <c r="I32" i="2"/>
  <c r="I41" i="2" s="1"/>
  <c r="I20" i="3"/>
  <c r="J69" i="1"/>
  <c r="I45" i="4"/>
  <c r="H36" i="4"/>
  <c r="H8" i="3"/>
  <c r="J14" i="4"/>
  <c r="I16" i="4"/>
  <c r="I15" i="4"/>
  <c r="I22" i="4"/>
  <c r="E48" i="3"/>
  <c r="F47" i="3" s="1"/>
  <c r="I52" i="3"/>
  <c r="I33" i="3"/>
  <c r="I44" i="4"/>
  <c r="J21" i="3"/>
  <c r="I69" i="1"/>
  <c r="I75" i="1"/>
  <c r="J75" i="1"/>
  <c r="J28" i="1"/>
  <c r="H80" i="1" l="1"/>
  <c r="I48" i="1"/>
  <c r="I50" i="1" s="1"/>
  <c r="I83" i="1" s="1"/>
  <c r="I30" i="4" s="1"/>
  <c r="I79" i="1"/>
  <c r="I28" i="4" s="1"/>
  <c r="F48" i="3"/>
  <c r="G47" i="3" s="1"/>
  <c r="G48" i="3" s="1"/>
  <c r="H47" i="3" s="1"/>
  <c r="I80" i="1"/>
  <c r="H38" i="4"/>
  <c r="H37" i="4"/>
  <c r="J8" i="3"/>
  <c r="J36" i="4"/>
  <c r="I36" i="4"/>
  <c r="I8" i="3"/>
  <c r="J48" i="1"/>
  <c r="J50" i="1" s="1"/>
  <c r="J80" i="1"/>
  <c r="H83" i="1"/>
  <c r="H30" i="4" s="1"/>
  <c r="H76" i="1"/>
  <c r="H84" i="1" s="1"/>
  <c r="H31" i="4" s="1"/>
  <c r="H57" i="1"/>
  <c r="I76" i="1" l="1"/>
  <c r="I84" i="1" s="1"/>
  <c r="I31" i="4" s="1"/>
  <c r="I57" i="1"/>
  <c r="I58" i="1" s="1"/>
  <c r="I60" i="1" s="1"/>
  <c r="I5" i="3" s="1"/>
  <c r="I23" i="3" s="1"/>
  <c r="I38" i="4"/>
  <c r="I37" i="4"/>
  <c r="J38" i="4"/>
  <c r="J37" i="4"/>
  <c r="H58" i="1"/>
  <c r="H60" i="1" s="1"/>
  <c r="J57" i="1"/>
  <c r="J76" i="1"/>
  <c r="J84" i="1" s="1"/>
  <c r="J31" i="4" s="1"/>
  <c r="J83" i="1"/>
  <c r="J30" i="4" s="1"/>
  <c r="H46" i="2" l="1"/>
  <c r="H5" i="3"/>
  <c r="H23" i="3" s="1"/>
  <c r="I51" i="3"/>
  <c r="I54" i="3" s="1"/>
  <c r="I55" i="3" s="1"/>
  <c r="I33" i="4" s="1"/>
  <c r="I46" i="3"/>
  <c r="I65" i="1"/>
  <c r="I66" i="1"/>
  <c r="I85" i="1"/>
  <c r="I32" i="4" s="1"/>
  <c r="H65" i="1"/>
  <c r="H66" i="1"/>
  <c r="H85" i="1"/>
  <c r="H32" i="4" s="1"/>
  <c r="J58" i="1"/>
  <c r="J60" i="1" s="1"/>
  <c r="J5" i="3" s="1"/>
  <c r="J23" i="3" s="1"/>
  <c r="J51" i="3" l="1"/>
  <c r="J54" i="3" s="1"/>
  <c r="J55" i="3" s="1"/>
  <c r="J33" i="4" s="1"/>
  <c r="J46" i="3"/>
  <c r="H51" i="3"/>
  <c r="H54" i="3" s="1"/>
  <c r="H55" i="3" s="1"/>
  <c r="H33" i="4" s="1"/>
  <c r="H46" i="3"/>
  <c r="H48" i="3" s="1"/>
  <c r="I47" i="3" s="1"/>
  <c r="I48" i="3" s="1"/>
  <c r="J47" i="3" s="1"/>
  <c r="I46" i="2"/>
  <c r="H47" i="2"/>
  <c r="H49" i="2" s="1"/>
  <c r="J65" i="1"/>
  <c r="J66" i="1"/>
  <c r="J85" i="1"/>
  <c r="J32" i="4" s="1"/>
  <c r="J48" i="3" l="1"/>
  <c r="J46" i="2"/>
  <c r="J47" i="2" s="1"/>
  <c r="J49" i="2" s="1"/>
  <c r="I47" i="2"/>
  <c r="I49" i="2" s="1"/>
  <c r="H10" i="2"/>
  <c r="H24" i="2" s="1"/>
  <c r="H52" i="2" s="1"/>
  <c r="H41" i="4"/>
  <c r="H43" i="4" s="1"/>
  <c r="J10" i="2" l="1"/>
  <c r="J24" i="2" s="1"/>
  <c r="J52" i="2" s="1"/>
  <c r="J41" i="4"/>
  <c r="J43" i="4" s="1"/>
  <c r="I41" i="4"/>
  <c r="I43" i="4" s="1"/>
  <c r="I10" i="2"/>
  <c r="I24" i="2" s="1"/>
  <c r="I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tc={33D84DAF-B95F-ED4D-88A4-0FE51A13FA4F}</author>
    <author>tc={A684CAEF-4480-D84C-BA59-3DC40486DC5E}</author>
    <author>tc={155B636D-CAF3-6846-943D-A4B1C62CC3B1}</author>
    <author>tc={BD83BD07-EBC7-9148-B890-FB95533E62BC}</author>
    <author>tc={AA231437-D8BB-FB46-BFF6-906BAE7F5A60}</author>
    <author>tc={92F0B416-CBB3-2748-99FD-1C0B8FC96E31}</author>
    <author>tc={381EE22D-E1BD-7946-AEF4-14D6D0640C87}</author>
    <author>tc={65E7855F-D225-5148-96C8-356C30718CD9}</author>
  </authors>
  <commentList>
    <comment ref="A1" authorId="0" shapeId="0" xr:uid="{33D84DAF-B95F-ED4D-88A4-0FE51A13FA4F}">
      <text>
        <t>[Threaded comment]
Your version of Excel allows you to read this threaded comment; however, any edits to it will get removed if the file is opened in a newer version of Excel. Learn more: https://go.microsoft.com/fwlink/?linkid=870924
Comment:
    Model built using data from Datadog SEC filings (10-K, 10-Q) via EDGAR and company earnings press releases on investors.datadoghq.com. Forecast years are base-case estimates. Component breakdowns derived from 10-K MD&amp;A disclosures and GAAP-to-Non-GAAP reconciliation tables.</t>
      </text>
    </comment>
    <comment ref="B7" authorId="1" shapeId="0" xr:uid="{A684CAEF-4480-D84C-BA59-3DC40486DC5E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Datadog 10-K FY2020, SEC EDGAR, https://www.sec.gov/Archives/edgar/data/1561550/000156155021000030/ddog-20201231.htm</t>
      </text>
    </comment>
    <comment ref="C7" authorId="2" shapeId="0" xr:uid="{155B636D-CAF3-6846-943D-A4B1C62CC3B1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Datadog 10-K FY2021, SEC EDGAR</t>
      </text>
    </comment>
    <comment ref="D7" authorId="3" shapeId="0" xr:uid="{BD83BD07-EBC7-9148-B890-FB95533E62BC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Datadog 10-K FY2022, SEC EDGAR. Revenue = $1,675.1M per 10-K.</t>
      </text>
    </comment>
    <comment ref="E7" authorId="4" shapeId="0" xr:uid="{AA231437-D8BB-FB46-BFF6-906BAE7F5A60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Datadog 10-K FY2023, SEC EDGAR. Revenue = $2,128.4M per 10-K.</t>
      </text>
    </comment>
    <comment ref="F7" authorId="5" shapeId="0" xr:uid="{92F0B416-CBB3-2748-99FD-1C0B8FC96E31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Datadog 10-K FY2024, SEC EDGAR, https://www.sec.gov/Archives/edgar/data/1561550/000156155025000025/ddog-20241231.htm. Revenue = $2,684.3M.</t>
      </text>
    </comment>
    <comment ref="G7" authorId="6" shapeId="0" xr:uid="{381EE22D-E1BD-7946-AEF4-14D6D0640C87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Datadog 10-K FY2025, SEC EDGAR, https://www.sec.gov/Archives/edgar/data/1561550/000162828026008819/ddog-20251231.htm. Revenue = $3,427.2M.</t>
      </text>
    </comment>
    <comment ref="H7" authorId="7" shapeId="0" xr:uid="{65E7855F-D225-5148-96C8-356C30718CD9}">
      <text>
        <t>[Threaded comment]
Your version of Excel allows you to read this threaded comment; however, any edits to it will get removed if the file is opened in a newer version of Excel. Learn more: https://go.microsoft.com/fwlink/?linkid=870924
Comment:
    Forecast: ~24% YoY growth. Datadog FY2026 company guidance: revenue of ~$4.1B. Consensus: ~$4.2B.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tc={B50FD4B8-DF30-1443-A885-7B0AFFF9E0A5}</author>
    <author>tc={FB6B5DE4-8424-CE4B-99BF-150E4E427898}</author>
  </authors>
  <commentList>
    <comment ref="A1" authorId="0" shapeId="0" xr:uid="{B50FD4B8-DF30-1443-A885-7B0AFFF9E0A5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Datadog SEC filings (10-K, 10-Q) via EDGAR. Historical figures are approximate based on reported data. Forecast BS uses cash as the balancing plug.</t>
      </text>
    </comment>
    <comment ref="H5" authorId="1" shapeId="0" xr:uid="{FB6B5DE4-8424-CE4B-99BF-150E4E427898}">
      <text>
        <t>[Threaded comment]
Your version of Excel allows you to read this threaded comment; however, any edits to it will get removed if the file is opened in a newer version of Excel. Learn more: https://go.microsoft.com/fwlink/?linkid=870924
Comment:
    Cash is the balancing plug in the forecast BS. It equals Total L&amp;E minus all other asset items, ensuring the BS always balances.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tc={543D063A-57D1-1E46-BCD4-E41F2E42C192}</author>
  </authors>
  <commentList>
    <comment ref="A1" authorId="0" shapeId="0" xr:uid="{543D063A-57D1-1E46-BCD4-E41F2E42C192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Datadog SEC filings (10-K, 10-Q) via EDGAR and company earnings releases on investors.datadoghq.com. Working capital changes derived from balance sheet movements.</t>
      </text>
    </comment>
  </commentList>
</comments>
</file>

<file path=xl/sharedStrings.xml><?xml version="1.0" encoding="utf-8"?>
<sst xmlns="http://schemas.openxmlformats.org/spreadsheetml/2006/main" count="250" uniqueCount="210">
  <si>
    <t>DATADOG, INC. (DDOG) — Consolidated Income Statement</t>
  </si>
  <si>
    <t>All figures in $000s unless otherwise noted. Source: SEC 10-K / 10-Q filings</t>
  </si>
  <si>
    <t>FY2020A</t>
  </si>
  <si>
    <t>FY2021A</t>
  </si>
  <si>
    <t>FY2022A</t>
  </si>
  <si>
    <t>FY2023A</t>
  </si>
  <si>
    <t>FY2024A</t>
  </si>
  <si>
    <t>FY2025A</t>
  </si>
  <si>
    <t>FY2026E</t>
  </si>
  <si>
    <t>FY2027E</t>
  </si>
  <si>
    <t>FY2028E</t>
  </si>
  <si>
    <t>REVENUE</t>
  </si>
  <si>
    <t xml:space="preserve">  Subscription Revenue</t>
  </si>
  <si>
    <t xml:space="preserve">  Other Revenue</t>
  </si>
  <si>
    <t>Total Revenue</t>
  </si>
  <si>
    <t>COST OF REVENUE</t>
  </si>
  <si>
    <t xml:space="preserve">  Hosting &amp; Infrastructure Costs</t>
  </si>
  <si>
    <t xml:space="preserve">  Personnel Costs (incl. overhead)</t>
  </si>
  <si>
    <t xml:space="preserve">  Amortization of Capitalized Software</t>
  </si>
  <si>
    <t xml:space="preserve">  Stock-Based Compensation (COGS)</t>
  </si>
  <si>
    <t xml:space="preserve">  Amortization of Acquired Intangibles</t>
  </si>
  <si>
    <t xml:space="preserve">  Other Cost of Revenue</t>
  </si>
  <si>
    <t>Total Cost of Revenue</t>
  </si>
  <si>
    <t>GROSS PROFIT</t>
  </si>
  <si>
    <t>OPERATING EXPENSES</t>
  </si>
  <si>
    <t>Research &amp; Development</t>
  </si>
  <si>
    <t xml:space="preserve">  R&amp;D Personnel Costs (incl. overhead)</t>
  </si>
  <si>
    <t xml:space="preserve">  R&amp;D Stock-Based Compensation</t>
  </si>
  <si>
    <t xml:space="preserve">  R&amp;D Employer Payroll Tax on SBC</t>
  </si>
  <si>
    <t xml:space="preserve">  Capitalized Software (contra)</t>
  </si>
  <si>
    <t xml:space="preserve">  Other R&amp;D</t>
  </si>
  <si>
    <t>Total R&amp;D Expense</t>
  </si>
  <si>
    <t>Sales &amp; Marketing</t>
  </si>
  <si>
    <t xml:space="preserve">  S&amp;M Personnel Costs (incl. commissions)</t>
  </si>
  <si>
    <t xml:space="preserve">  S&amp;M Stock-Based Compensation</t>
  </si>
  <si>
    <t xml:space="preserve">  S&amp;M Employer Payroll Tax on SBC</t>
  </si>
  <si>
    <t xml:space="preserve">  Marketing Programs &amp; Events</t>
  </si>
  <si>
    <t xml:space="preserve">  Amort. of Deferred Commissions</t>
  </si>
  <si>
    <t xml:space="preserve">  Other S&amp;M</t>
  </si>
  <si>
    <t>Total S&amp;M Expense</t>
  </si>
  <si>
    <t>General &amp; Administrative</t>
  </si>
  <si>
    <t xml:space="preserve">  G&amp;A Personnel Costs (incl. overhead)</t>
  </si>
  <si>
    <t xml:space="preserve">  G&amp;A Stock-Based Compensation</t>
  </si>
  <si>
    <t xml:space="preserve">  G&amp;A Employer Payroll Tax on SBC</t>
  </si>
  <si>
    <t xml:space="preserve">  Professional Fees &amp; Insurance</t>
  </si>
  <si>
    <t xml:space="preserve">  Other G&amp;A</t>
  </si>
  <si>
    <t>Total G&amp;A Expense</t>
  </si>
  <si>
    <t>TOTAL OPERATING EXPENSES</t>
  </si>
  <si>
    <t>OPERATING INCOME (LOSS)</t>
  </si>
  <si>
    <t>OTHER INCOME (EXPENSE)</t>
  </si>
  <si>
    <t xml:space="preserve">  Interest Income</t>
  </si>
  <si>
    <t xml:space="preserve">  Interest Expense</t>
  </si>
  <si>
    <t xml:space="preserve">  Other Income (Expense), net</t>
  </si>
  <si>
    <t>Total Other Income (Expense)</t>
  </si>
  <si>
    <t>INCOME (LOSS) BEFORE INCOME TAXES</t>
  </si>
  <si>
    <t xml:space="preserve">  Provision for Income Taxes</t>
  </si>
  <si>
    <t>NET INCOME (LOSS)</t>
  </si>
  <si>
    <t>PER SHARE DATA</t>
  </si>
  <si>
    <t xml:space="preserve">  Basic Shares Outstanding (000s)</t>
  </si>
  <si>
    <t xml:space="preserve">  Diluted Shares Outstanding (000s)</t>
  </si>
  <si>
    <t xml:space="preserve">  Basic EPS</t>
  </si>
  <si>
    <t xml:space="preserve">  Diluted EPS</t>
  </si>
  <si>
    <t>NON-GAAP RECONCILIATION</t>
  </si>
  <si>
    <t xml:space="preserve">  Total SBC Expense</t>
  </si>
  <si>
    <t xml:space="preserve">    SBC in COGS</t>
  </si>
  <si>
    <t xml:space="preserve">    SBC in R&amp;D</t>
  </si>
  <si>
    <t xml:space="preserve">    SBC in S&amp;M</t>
  </si>
  <si>
    <t xml:space="preserve">    SBC in G&amp;A</t>
  </si>
  <si>
    <t xml:space="preserve">  Employer Payroll Tax on SBC</t>
  </si>
  <si>
    <t xml:space="preserve">  Non-GAAP Operating Income</t>
  </si>
  <si>
    <t>MARGIN ANALYSIS</t>
  </si>
  <si>
    <t xml:space="preserve">  Gross Margin</t>
  </si>
  <si>
    <t xml:space="preserve">  R&amp;D % of Revenue</t>
  </si>
  <si>
    <t xml:space="preserve">  S&amp;M % of Revenue</t>
  </si>
  <si>
    <t xml:space="preserve">  G&amp;A % of Revenue</t>
  </si>
  <si>
    <t xml:space="preserve">  GAAP Operating Margin</t>
  </si>
  <si>
    <t xml:space="preserve">  Non-GAAP Operating Margin</t>
  </si>
  <si>
    <t xml:space="preserve">  Net Income Margin</t>
  </si>
  <si>
    <t xml:space="preserve">  Revenue YoY Growth</t>
  </si>
  <si>
    <t>n/a</t>
  </si>
  <si>
    <t>DATADOG, INC. (DDOG) — Consolidated Balance Sheet</t>
  </si>
  <si>
    <t>All figures in $000s. Source: SEC 10-K filings</t>
  </si>
  <si>
    <t>CURRENT ASSETS</t>
  </si>
  <si>
    <t xml:space="preserve">  Cash &amp; Cash Equivalents</t>
  </si>
  <si>
    <t xml:space="preserve">  Marketable Securities (ST)</t>
  </si>
  <si>
    <t xml:space="preserve">  Accounts Receivable, net</t>
  </si>
  <si>
    <t xml:space="preserve">  Deferred Commissions, current</t>
  </si>
  <si>
    <t xml:space="preserve">  Prepaid Expenses &amp; Other CA</t>
  </si>
  <si>
    <t>Total Current Assets</t>
  </si>
  <si>
    <t>NON-CURRENT ASSETS</t>
  </si>
  <si>
    <t xml:space="preserve">  Marketable Securities (LT)</t>
  </si>
  <si>
    <t xml:space="preserve">  Property &amp; Equipment, net</t>
  </si>
  <si>
    <t xml:space="preserve">  Operating Lease ROU Assets</t>
  </si>
  <si>
    <t xml:space="preserve">  Goodwill</t>
  </si>
  <si>
    <t xml:space="preserve">  Intangible Assets, net</t>
  </si>
  <si>
    <t xml:space="preserve">  Deferred Commissions, non-current</t>
  </si>
  <si>
    <t xml:space="preserve">  Capitalized Software, net</t>
  </si>
  <si>
    <t xml:space="preserve">  Deferred Tax Assets</t>
  </si>
  <si>
    <t xml:space="preserve">  Other Non-Current Assets</t>
  </si>
  <si>
    <t>Total Non-Current Assets</t>
  </si>
  <si>
    <t>TOTAL ASSETS</t>
  </si>
  <si>
    <t>CURRENT LIABILITIES</t>
  </si>
  <si>
    <t xml:space="preserve">  Accounts Payable</t>
  </si>
  <si>
    <t xml:space="preserve">  Accrued Expenses &amp; Other CL</t>
  </si>
  <si>
    <t xml:space="preserve">  Operating Lease Liabilities, current</t>
  </si>
  <si>
    <t xml:space="preserve">  Deferred Revenue, current</t>
  </si>
  <si>
    <t xml:space="preserve">  Convertible Notes, current</t>
  </si>
  <si>
    <t>Total Current Liabilities</t>
  </si>
  <si>
    <t>NON-CURRENT LIABILITIES</t>
  </si>
  <si>
    <t xml:space="preserve">  Operating Lease Liabilities, NC</t>
  </si>
  <si>
    <t xml:space="preserve">  Deferred Revenue, non-current</t>
  </si>
  <si>
    <t xml:space="preserve">  Convertible Notes, non-current</t>
  </si>
  <si>
    <t xml:space="preserve">  Other Non-Current Liabilities</t>
  </si>
  <si>
    <t>Total Non-Current Liabilities</t>
  </si>
  <si>
    <t>TOTAL LIABILITIES</t>
  </si>
  <si>
    <t>STOCKHOLDERS' EQUITY</t>
  </si>
  <si>
    <t xml:space="preserve">  Common Stock &amp; APIC</t>
  </si>
  <si>
    <t xml:space="preserve">  AOCI</t>
  </si>
  <si>
    <t xml:space="preserve">  Accumulated Deficit</t>
  </si>
  <si>
    <t>Total Stockholders' Equity</t>
  </si>
  <si>
    <t>TOTAL LIABILITIES &amp; EQUITY</t>
  </si>
  <si>
    <t>BALANCE CHECK (should = 0)</t>
  </si>
  <si>
    <t xml:space="preserve">  Assets - L&amp;E</t>
  </si>
  <si>
    <t>DATADOG, INC. (DDOG) — Consolidated Statement of Cash Flows</t>
  </si>
  <si>
    <t>CASH FROM OPERATING ACTIVITIES</t>
  </si>
  <si>
    <t xml:space="preserve">  Net Income (Loss)</t>
  </si>
  <si>
    <t xml:space="preserve">  Adjustments:</t>
  </si>
  <si>
    <t xml:space="preserve">    Depreciation &amp; Amortization</t>
  </si>
  <si>
    <t xml:space="preserve">    Stock-Based Compensation</t>
  </si>
  <si>
    <t xml:space="preserve">    Amortization of Deferred Commissions</t>
  </si>
  <si>
    <t xml:space="preserve">    Amortization of Capitalized Software</t>
  </si>
  <si>
    <t xml:space="preserve">    Amortization of Debt Issuance Costs</t>
  </si>
  <si>
    <t xml:space="preserve">    Unrealized (Gain) Loss on Investments</t>
  </si>
  <si>
    <t xml:space="preserve">    Deferred Income Taxes</t>
  </si>
  <si>
    <t xml:space="preserve">    Other Non-Cash Items</t>
  </si>
  <si>
    <t xml:space="preserve">  Changes in Working Capital:</t>
  </si>
  <si>
    <t xml:space="preserve">    Accounts Receivable</t>
  </si>
  <si>
    <t xml:space="preserve">    Prepaid &amp; Other Assets</t>
  </si>
  <si>
    <t xml:space="preserve">    Deferred Commissions</t>
  </si>
  <si>
    <t xml:space="preserve">    Accounts Payable</t>
  </si>
  <si>
    <t xml:space="preserve">    Accrued Liabilities</t>
  </si>
  <si>
    <t xml:space="preserve">    Deferred Revenue</t>
  </si>
  <si>
    <t xml:space="preserve">    Other Working Capital</t>
  </si>
  <si>
    <t>Net Cash from Operating Activities</t>
  </si>
  <si>
    <t>CASH FROM INVESTING ACTIVITIES</t>
  </si>
  <si>
    <t xml:space="preserve">  Purchases of Marketable Securities</t>
  </si>
  <si>
    <t xml:space="preserve">  Maturities of Marketable Securities</t>
  </si>
  <si>
    <t xml:space="preserve">  Sales of Marketable Securities</t>
  </si>
  <si>
    <t xml:space="preserve">  Capital Expenditures</t>
  </si>
  <si>
    <t xml:space="preserve">  Capitalized Software Development</t>
  </si>
  <si>
    <t xml:space="preserve">  Business Acquisitions, net of cash</t>
  </si>
  <si>
    <t xml:space="preserve">  Other Investing</t>
  </si>
  <si>
    <t>Net Cash from Investing Activities</t>
  </si>
  <si>
    <t>CASH FROM FINANCING ACTIVITIES</t>
  </si>
  <si>
    <t xml:space="preserve">  Proceeds from Convertible Notes</t>
  </si>
  <si>
    <t xml:space="preserve">  Repayment of Convertible Notes</t>
  </si>
  <si>
    <t xml:space="preserve">  Purchase of Capped Calls</t>
  </si>
  <si>
    <t xml:space="preserve">  Proceeds from ESPP &amp; Stock Options</t>
  </si>
  <si>
    <t xml:space="preserve">  Tax Withholding on RSU Settlement</t>
  </si>
  <si>
    <t xml:space="preserve">  Other Financing</t>
  </si>
  <si>
    <t>Net Cash from Financing Activities</t>
  </si>
  <si>
    <t>FX Impact on Cash</t>
  </si>
  <si>
    <t>NET CHANGE IN CASH</t>
  </si>
  <si>
    <t>Beginning Cash Balance</t>
  </si>
  <si>
    <t>Ending Cash Balance</t>
  </si>
  <si>
    <t>FREE CASH FLOW RECONCILIATION</t>
  </si>
  <si>
    <t xml:space="preserve">  Operating Cash Flow</t>
  </si>
  <si>
    <t>Free Cash Flow</t>
  </si>
  <si>
    <t xml:space="preserve">  FCF Margin</t>
  </si>
  <si>
    <t>DATADOG, INC. (DDOG) — Key Performance Indicators &amp; Operating Drivers</t>
  </si>
  <si>
    <t>Source: SEC filings, company earnings releases, Datadog IR</t>
  </si>
  <si>
    <t>CUSTOMER METRICS</t>
  </si>
  <si>
    <t xml:space="preserve">  Total Customers (approx.)</t>
  </si>
  <si>
    <t xml:space="preserve">  Customers w/ ARR ≥ $100K</t>
  </si>
  <si>
    <t xml:space="preserve">  Customers w/ ARR ≥ $1M</t>
  </si>
  <si>
    <t xml:space="preserve">  $100K+ Customers YoY Growth</t>
  </si>
  <si>
    <t xml:space="preserve">  $1M+ Customers YoY Growth</t>
  </si>
  <si>
    <t xml:space="preserve">  Net Revenue Retention Rate</t>
  </si>
  <si>
    <t>130%+</t>
  </si>
  <si>
    <t>120%+</t>
  </si>
  <si>
    <t>115%+</t>
  </si>
  <si>
    <t>REVENUE METRICS</t>
  </si>
  <si>
    <t xml:space="preserve">  Total Revenue ($000s)</t>
  </si>
  <si>
    <t xml:space="preserve">  Revenue per Customer ($)</t>
  </si>
  <si>
    <t xml:space="preserve">  Revenue per $100K+ Customer ($000s)</t>
  </si>
  <si>
    <t xml:space="preserve">  Subscription % of Revenue</t>
  </si>
  <si>
    <t xml:space="preserve">  Int'l Revenue % (approx.)</t>
  </si>
  <si>
    <t>OPERATING METRICS</t>
  </si>
  <si>
    <t xml:space="preserve">  Headcount (approx.)</t>
  </si>
  <si>
    <t xml:space="preserve">  Revenue per Employee ($000s)</t>
  </si>
  <si>
    <t xml:space="preserve">  Products with ≥ 2 Products (%)</t>
  </si>
  <si>
    <t xml:space="preserve">  Products with ≥ 4 Products (%)</t>
  </si>
  <si>
    <t xml:space="preserve">  Products with ≥ 6 Products (%)</t>
  </si>
  <si>
    <t>PROFITABILITY METRICS</t>
  </si>
  <si>
    <t xml:space="preserve">  Gross Margin (GAAP)</t>
  </si>
  <si>
    <t xml:space="preserve">  Gross Margin (Non-GAAP)</t>
  </si>
  <si>
    <t>SBC METRICS</t>
  </si>
  <si>
    <t xml:space="preserve">  Total SBC ($000s)</t>
  </si>
  <si>
    <t xml:space="preserve">  SBC as % of Revenue</t>
  </si>
  <si>
    <t xml:space="preserve">  SBC per Employee ($000s)</t>
  </si>
  <si>
    <t>BALANCE SHEET METRICS</t>
  </si>
  <si>
    <t xml:space="preserve">  Cash + Marketable Securities ($000s)</t>
  </si>
  <si>
    <t xml:space="preserve">  Total Debt ($000s)</t>
  </si>
  <si>
    <t xml:space="preserve">  Net Cash ($000s)</t>
  </si>
  <si>
    <t xml:space="preserve">  Days Sales Outstanding (DSO)</t>
  </si>
  <si>
    <t xml:space="preserve">  Deferred Revenue / Revenue</t>
  </si>
  <si>
    <t xml:space="preserve">  RPO ($000s, approx.)</t>
  </si>
  <si>
    <t xml:space="preserve">  cRPO ($000s, approx.)</t>
  </si>
  <si>
    <t>Line Item</t>
  </si>
  <si>
    <t>Metric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</si>
</sst>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\(#,##0\);&quot;-&quot;"/>
    <numFmt numFmtId="165" formatCode="&quot;£&quot;#,##0.00;\(&quot;£&quot;#,##0.00\);&quot;-&quot;"/>
    <numFmt numFmtId="166" formatCode="0.0%"/>
    <numFmt numFmtId="167" formatCode="&quot;£&quot;#,##0"/>
    <numFmt numFmtId="168" formatCode="0.0"/>
  </numFmts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9"/>
      <color rgb="FF666666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2"/>
      <color rgb="FF0000FF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2"/>
      <color rgb="FFFFFFFF"/>
      <name val="Aptos Narrow"/>
      <family val="2"/>
      <scheme val="minor"/>
    </font>
    <font>
      <b/>
      <sz val="12"/>
      <color rgb="FF1A365D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DF2F7"/>
        <bgColor indexed="64"/>
      </patternFill>
    </fill>
    <fill>
      <patternFill patternType="solid">
        <fgColor rgb="FF2C5282"/>
        <bgColor indexed="64"/>
      </patternFill>
    </fill>
    <fill>
      <patternFill patternType="solid">
        <fgColor rgb="FFBEE3F8"/>
        <bgColor indexed="64"/>
      </patternFill>
    </fill>
    <fill>
      <patternFill patternType="solid">
        <fgColor rgb="FFEBF4FF"/>
        <bgColor indexed="64"/>
      </patternFill>
    </fill>
    <fill>
      <patternFill patternType="solid">
        <fgColor rgb="FFFFF3CD"/>
        <bgColor indexed="64"/>
      </patternFill>
    </fill>
    <fill>
      <patternFill patternType="solid">
        <fgColor rgb="FFD4EDDA"/>
        <bgColor indexed="64"/>
      </patternFill>
    </fill>
    <fill>
      <patternFill patternType="solid">
        <fgColor rgb="FFC6F0D4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rgb="FF1F3864"/>
      </right>
      <top/>
      <bottom/>
      <diagonal/>
    </border>
    <border>
      <left/>
      <right style="medium">
        <color rgb="FF1F3864"/>
      </right>
      <top style="thin">
        <color auto="1"/>
      </top>
      <bottom style="double">
        <color auto="1"/>
      </bottom>
      <diagonal/>
    </border>
    <border>
      <left/>
      <right style="medium">
        <color rgb="FF1F3864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rgb="FF1F3864"/>
      </right>
      <top/>
      <bottom style="medium">
        <color auto="1"/>
      </bottom>
      <diagonal/>
    </border>
    <border>
      <left/>
      <right/>
      <top/>
      <bottom style="medium">
        <color rgb="FF1F3864"/>
      </bottom>
      <diagonal/>
    </border>
    <border>
      <left/>
      <right style="medium">
        <color rgb="FF1F3864"/>
      </right>
      <top/>
      <bottom style="medium">
        <color rgb="FF1F38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1F3864"/>
      </right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1F3864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666666"/>
      </top>
      <bottom/>
      <diagonal/>
    </border>
    <border>
      <left/>
      <right style="medium">
        <color rgb="FF1F3864"/>
      </right>
      <top style="thin">
        <color rgb="FF666666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1F38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3" fontId="0" fillId="0" borderId="0" xfId="0" applyNumberFormat="1"/>
    <xf numFmtId="166" fontId="0" fillId="0" borderId="0" xfId="0" applyNumberFormat="1"/>
    <xf numFmtId="164" fontId="6" fillId="0" borderId="0" xfId="0" applyNumberFormat="1" applyFont="1"/>
    <xf numFmtId="3" fontId="6" fillId="0" borderId="0" xfId="0" applyNumberFormat="1" applyFont="1"/>
    <xf numFmtId="9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3" borderId="0" xfId="0" applyFill="1"/>
    <xf numFmtId="164" fontId="6" fillId="3" borderId="0" xfId="0" applyNumberFormat="1" applyFont="1" applyFill="1"/>
    <xf numFmtId="3" fontId="6" fillId="3" borderId="0" xfId="0" applyNumberFormat="1" applyFont="1" applyFill="1"/>
    <xf numFmtId="165" fontId="0" fillId="3" borderId="0" xfId="0" applyNumberFormat="1" applyFill="1"/>
    <xf numFmtId="164" fontId="0" fillId="3" borderId="0" xfId="0" applyNumberFormat="1" applyFill="1"/>
    <xf numFmtId="166" fontId="0" fillId="3" borderId="0" xfId="0" applyNumberFormat="1" applyFill="1"/>
    <xf numFmtId="0" fontId="1" fillId="4" borderId="0" xfId="0" applyFont="1" applyFill="1"/>
    <xf numFmtId="0" fontId="0" fillId="4" borderId="0" xfId="0" applyFill="1"/>
    <xf numFmtId="164" fontId="1" fillId="4" borderId="2" xfId="0" applyNumberFormat="1" applyFont="1" applyFill="1" applyBorder="1"/>
    <xf numFmtId="164" fontId="1" fillId="4" borderId="1" xfId="0" applyNumberFormat="1" applyFont="1" applyFill="1" applyBorder="1"/>
    <xf numFmtId="164" fontId="1" fillId="4" borderId="0" xfId="0" applyNumberFormat="1" applyFont="1" applyFill="1"/>
    <xf numFmtId="0" fontId="5" fillId="5" borderId="0" xfId="0" applyFont="1" applyFill="1"/>
    <xf numFmtId="0" fontId="9" fillId="5" borderId="0" xfId="0" applyFont="1" applyFill="1"/>
    <xf numFmtId="0" fontId="10" fillId="5" borderId="0" xfId="0" applyFont="1" applyFill="1"/>
    <xf numFmtId="0" fontId="0" fillId="6" borderId="0" xfId="0" applyFill="1"/>
    <xf numFmtId="0" fontId="7" fillId="6" borderId="0" xfId="0" applyFont="1" applyFill="1"/>
    <xf numFmtId="0" fontId="11" fillId="6" borderId="0" xfId="0" applyFont="1" applyFill="1"/>
    <xf numFmtId="164" fontId="7" fillId="7" borderId="0" xfId="0" applyNumberFormat="1" applyFont="1" applyFill="1"/>
    <xf numFmtId="164" fontId="8" fillId="7" borderId="2" xfId="0" applyNumberFormat="1" applyFont="1" applyFill="1" applyBorder="1"/>
    <xf numFmtId="0" fontId="7" fillId="7" borderId="0" xfId="0" applyFont="1" applyFill="1"/>
    <xf numFmtId="164" fontId="8" fillId="7" borderId="1" xfId="0" applyNumberFormat="1" applyFont="1" applyFill="1" applyBorder="1"/>
    <xf numFmtId="164" fontId="8" fillId="7" borderId="0" xfId="0" applyNumberFormat="1" applyFont="1" applyFill="1"/>
    <xf numFmtId="3" fontId="7" fillId="7" borderId="0" xfId="0" applyNumberFormat="1" applyFont="1" applyFill="1"/>
    <xf numFmtId="165" fontId="7" fillId="7" borderId="0" xfId="0" applyNumberFormat="1" applyFont="1" applyFill="1"/>
    <xf numFmtId="166" fontId="7" fillId="7" borderId="0" xfId="0" applyNumberFormat="1" applyFont="1" applyFill="1"/>
    <xf numFmtId="0" fontId="10" fillId="5" borderId="3" xfId="0" applyFont="1" applyFill="1" applyBorder="1"/>
    <xf numFmtId="164" fontId="6" fillId="3" borderId="3" xfId="0" applyNumberFormat="1" applyFont="1" applyFill="1" applyBorder="1"/>
    <xf numFmtId="164" fontId="1" fillId="4" borderId="4" xfId="0" applyNumberFormat="1" applyFont="1" applyFill="1" applyBorder="1"/>
    <xf numFmtId="0" fontId="0" fillId="0" borderId="3" xfId="0" applyBorder="1"/>
    <xf numFmtId="164" fontId="1" fillId="4" borderId="5" xfId="0" applyNumberFormat="1" applyFont="1" applyFill="1" applyBorder="1"/>
    <xf numFmtId="164" fontId="1" fillId="4" borderId="3" xfId="0" applyNumberFormat="1" applyFont="1" applyFill="1" applyBorder="1"/>
    <xf numFmtId="0" fontId="0" fillId="6" borderId="3" xfId="0" applyFill="1" applyBorder="1"/>
    <xf numFmtId="164" fontId="6" fillId="0" borderId="3" xfId="0" applyNumberFormat="1" applyFont="1" applyBorder="1"/>
    <xf numFmtId="3" fontId="6" fillId="3" borderId="3" xfId="0" applyNumberFormat="1" applyFont="1" applyFill="1" applyBorder="1"/>
    <xf numFmtId="165" fontId="0" fillId="3" borderId="3" xfId="0" applyNumberFormat="1" applyFill="1" applyBorder="1"/>
    <xf numFmtId="164" fontId="0" fillId="0" borderId="3" xfId="0" applyNumberFormat="1" applyBorder="1"/>
    <xf numFmtId="164" fontId="0" fillId="3" borderId="3" xfId="0" applyNumberFormat="1" applyFill="1" applyBorder="1"/>
    <xf numFmtId="166" fontId="0" fillId="3" borderId="3" xfId="0" applyNumberForma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4" fontId="1" fillId="4" borderId="10" xfId="0" applyNumberFormat="1" applyFont="1" applyFill="1" applyBorder="1"/>
    <xf numFmtId="164" fontId="1" fillId="4" borderId="11" xfId="0" applyNumberFormat="1" applyFont="1" applyFill="1" applyBorder="1"/>
    <xf numFmtId="164" fontId="8" fillId="7" borderId="10" xfId="0" applyNumberFormat="1" applyFont="1" applyFill="1" applyBorder="1"/>
    <xf numFmtId="164" fontId="1" fillId="4" borderId="12" xfId="0" applyNumberFormat="1" applyFont="1" applyFill="1" applyBorder="1"/>
    <xf numFmtId="164" fontId="1" fillId="4" borderId="13" xfId="0" applyNumberFormat="1" applyFont="1" applyFill="1" applyBorder="1"/>
    <xf numFmtId="164" fontId="8" fillId="7" borderId="12" xfId="0" applyNumberFormat="1" applyFont="1" applyFill="1" applyBorder="1"/>
    <xf numFmtId="0" fontId="5" fillId="8" borderId="0" xfId="0" applyFont="1" applyFill="1"/>
    <xf numFmtId="0" fontId="0" fillId="8" borderId="0" xfId="0" applyFill="1"/>
    <xf numFmtId="0" fontId="10" fillId="8" borderId="0" xfId="0" applyFont="1" applyFill="1"/>
    <xf numFmtId="0" fontId="10" fillId="8" borderId="3" xfId="0" applyFont="1" applyFill="1" applyBorder="1"/>
    <xf numFmtId="164" fontId="0" fillId="8" borderId="0" xfId="0" applyNumberFormat="1" applyFill="1"/>
    <xf numFmtId="164" fontId="0" fillId="8" borderId="3" xfId="0" applyNumberFormat="1" applyFill="1" applyBorder="1"/>
    <xf numFmtId="164" fontId="7" fillId="8" borderId="0" xfId="0" applyNumberFormat="1" applyFont="1" applyFill="1"/>
    <xf numFmtId="166" fontId="0" fillId="0" borderId="3" xfId="0" applyNumberFormat="1" applyBorder="1"/>
    <xf numFmtId="0" fontId="1" fillId="9" borderId="0" xfId="0" applyFont="1" applyFill="1"/>
    <xf numFmtId="0" fontId="0" fillId="9" borderId="0" xfId="0" applyFill="1"/>
    <xf numFmtId="164" fontId="1" fillId="9" borderId="2" xfId="0" applyNumberFormat="1" applyFont="1" applyFill="1" applyBorder="1"/>
    <xf numFmtId="164" fontId="1" fillId="9" borderId="4" xfId="0" applyNumberFormat="1" applyFont="1" applyFill="1" applyBorder="1"/>
    <xf numFmtId="164" fontId="8" fillId="9" borderId="2" xfId="0" applyNumberFormat="1" applyFont="1" applyFill="1" applyBorder="1"/>
    <xf numFmtId="166" fontId="0" fillId="9" borderId="0" xfId="0" applyNumberFormat="1" applyFill="1"/>
    <xf numFmtId="166" fontId="0" fillId="9" borderId="3" xfId="0" applyNumberFormat="1" applyFill="1" applyBorder="1"/>
    <xf numFmtId="166" fontId="7" fillId="9" borderId="0" xfId="0" applyNumberFormat="1" applyFont="1" applyFill="1"/>
    <xf numFmtId="9" fontId="7" fillId="7" borderId="0" xfId="0" applyNumberFormat="1" applyFont="1" applyFill="1"/>
    <xf numFmtId="167" fontId="7" fillId="7" borderId="0" xfId="0" applyNumberFormat="1" applyFont="1" applyFill="1"/>
    <xf numFmtId="168" fontId="7" fillId="7" borderId="0" xfId="0" applyNumberFormat="1" applyFont="1" applyFill="1"/>
    <xf numFmtId="3" fontId="6" fillId="0" borderId="3" xfId="0" applyNumberFormat="1" applyFont="1" applyBorder="1"/>
    <xf numFmtId="9" fontId="0" fillId="0" borderId="3" xfId="0" applyNumberFormat="1" applyBorder="1"/>
    <xf numFmtId="3" fontId="0" fillId="0" borderId="3" xfId="0" applyNumberFormat="1" applyBorder="1"/>
    <xf numFmtId="167" fontId="0" fillId="0" borderId="3" xfId="0" applyNumberFormat="1" applyBorder="1"/>
    <xf numFmtId="168" fontId="0" fillId="0" borderId="3" xfId="0" applyNumberFormat="1" applyBorder="1"/>
    <xf numFmtId="164" fontId="1" fillId="4" borderId="14" xfId="0" applyNumberFormat="1" applyFont="1" applyFill="1" applyBorder="1"/>
    <xf numFmtId="164" fontId="1" fillId="4" borderId="15" xfId="0" applyNumberFormat="1" applyFont="1" applyFill="1" applyBorder="1"/>
    <xf numFmtId="164" fontId="8" fillId="7" borderId="14" xfId="0" applyNumberFormat="1" applyFont="1" applyFill="1" applyBorder="1"/>
    <xf numFmtId="0" fontId="0" fillId="4" borderId="3" xfId="0" applyFill="1" applyBorder="1"/>
    <xf numFmtId="0" fontId="7" fillId="4" borderId="0" xfId="0" applyFont="1" applyFill="1"/>
    <xf numFmtId="0" fontId="0" fillId="4" borderId="16" xfId="0" applyFill="1" applyBorder="1"/>
    <xf numFmtId="0" fontId="0" fillId="4" borderId="17" xfId="0" applyFill="1" applyBorder="1"/>
    <xf numFmtId="0" fontId="7" fillId="4" borderId="16" xfId="0" applyFont="1" applyFill="1" applyBorder="1"/>
    <xf numFmtId="164" fontId="1" fillId="4" borderId="16" xfId="0" applyNumberFormat="1" applyFont="1" applyFill="1" applyBorder="1"/>
    <xf numFmtId="164" fontId="1" fillId="4" borderId="17" xfId="0" applyNumberFormat="1" applyFont="1" applyFill="1" applyBorder="1"/>
    <xf numFmtId="164" fontId="8" fillId="7" borderId="16" xfId="0" applyNumberFormat="1" applyFont="1" applyFill="1" applyBorder="1"/>
    <xf numFmtId="164" fontId="1" fillId="9" borderId="12" xfId="0" applyNumberFormat="1" applyFont="1" applyFill="1" applyBorder="1"/>
    <xf numFmtId="164" fontId="1" fillId="9" borderId="13" xfId="0" applyNumberFormat="1" applyFont="1" applyFill="1" applyBorder="1"/>
    <xf numFmtId="164" fontId="8" fillId="10" borderId="12" xfId="0" applyNumberFormat="1" applyFont="1" applyFill="1" applyBorder="1"/>
    <xf numFmtId="164" fontId="1" fillId="9" borderId="0" xfId="0" applyNumberFormat="1" applyFont="1" applyFill="1"/>
    <xf numFmtId="164" fontId="1" fillId="9" borderId="3" xfId="0" applyNumberFormat="1" applyFont="1" applyFill="1" applyBorder="1"/>
    <xf numFmtId="164" fontId="8" fillId="10" borderId="0" xfId="0" applyNumberFormat="1" applyFont="1" applyFill="1"/>
    <xf numFmtId="164" fontId="8" fillId="1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hnan, Advaith" id="{BB6D9E68-DC7F-0540-A8D2-A5099A9912F0}" userId="S::ak5225@ic.ac.uk::337c1504-89f0-4b6c-a579-0780bd13031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6-03-15T15:10:04.66" personId="{BB6D9E68-DC7F-0540-A8D2-A5099A9912F0}" id="{33D84DAF-B95F-ED4D-88A4-0FE51A13FA4F}">
    <text>Model built using data from Datadog SEC filings (10-K, 10-Q) via EDGAR and company earnings press releases on investors.datadoghq.com. Forecast years are base-case estimates. Component breakdowns derived from 10-K MD&amp;A disclosures and GAAP-to-Non-GAAP reconciliation tables.</text>
  </threadedComment>
  <threadedComment ref="B7" dT="2026-03-15T15:10:04.63" personId="{BB6D9E68-DC7F-0540-A8D2-A5099A9912F0}" id="{A684CAEF-4480-D84C-BA59-3DC40486DC5E}">
    <text>Source: Datadog 10-K FY2020, SEC EDGAR, https://www.sec.gov/Archives/edgar/data/1561550/000156155021000030/ddog-20201231.htm</text>
  </threadedComment>
  <threadedComment ref="C7" dT="2026-03-15T15:10:04.65" personId="{BB6D9E68-DC7F-0540-A8D2-A5099A9912F0}" id="{155B636D-CAF3-6846-943D-A4B1C62CC3B1}">
    <text>Source: Datadog 10-K FY2021, SEC EDGAR</text>
  </threadedComment>
  <threadedComment ref="D7" dT="2026-03-15T15:10:04.65" personId="{BB6D9E68-DC7F-0540-A8D2-A5099A9912F0}" id="{BD83BD07-EBC7-9148-B890-FB95533E62BC}">
    <text>Source: Datadog 10-K FY2022, SEC EDGAR. Revenue = $1,675.1M per 10-K.</text>
  </threadedComment>
  <threadedComment ref="E7" dT="2026-03-15T15:10:04.66" personId="{BB6D9E68-DC7F-0540-A8D2-A5099A9912F0}" id="{AA231437-D8BB-FB46-BFF6-906BAE7F5A60}">
    <text>Source: Datadog 10-K FY2023, SEC EDGAR. Revenue = $2,128.4M per 10-K.</text>
  </threadedComment>
  <threadedComment ref="F7" dT="2026-03-15T15:10:04.66" personId="{BB6D9E68-DC7F-0540-A8D2-A5099A9912F0}" id="{92F0B416-CBB3-2748-99FD-1C0B8FC96E31}">
    <text>Source: Datadog 10-K FY2024, SEC EDGAR, https://www.sec.gov/Archives/edgar/data/1561550/000156155025000025/ddog-20241231.htm. Revenue = $2,684.3M.</text>
  </threadedComment>
  <threadedComment ref="G7" dT="2026-03-15T15:10:04.66" personId="{BB6D9E68-DC7F-0540-A8D2-A5099A9912F0}" id="{381EE22D-E1BD-7946-AEF4-14D6D0640C87}">
    <text>Source: Datadog 10-K FY2025, SEC EDGAR, https://www.sec.gov/Archives/edgar/data/1561550/000162828026008819/ddog-20251231.htm. Revenue = $3,427.2M.</text>
  </threadedComment>
  <threadedComment ref="H7" dT="2026-03-15T15:10:04.66" personId="{BB6D9E68-DC7F-0540-A8D2-A5099A9912F0}" id="{65E7855F-D225-5148-96C8-356C30718CD9}">
    <text>Forecast: ~24% YoY growth. Datadog FY2026 company guidance: revenue of ~$4.1B. Consensus: ~$4.2B.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6-03-15T15:11:34.76" personId="{BB6D9E68-DC7F-0540-A8D2-A5099A9912F0}" id="{B50FD4B8-DF30-1443-A885-7B0AFFF9E0A5}">
    <text>Source: Datadog SEC filings (10-K, 10-Q) via EDGAR. Historical figures are approximate based on reported data. Forecast BS uses cash as the balancing plug.</text>
  </threadedComment>
  <threadedComment ref="H5" dT="2026-03-15T15:11:34.76" personId="{BB6D9E68-DC7F-0540-A8D2-A5099A9912F0}" id="{FB6B5DE4-8424-CE4B-99BF-150E4E427898}">
    <text>Cash is the balancing plug in the forecast BS. It equals Total L&amp;E minus all other asset items, ensuring the BS always balances.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" dT="2026-03-15T15:11:34.76" personId="{BB6D9E68-DC7F-0540-A8D2-A5099A9912F0}" id="{543D063A-57D1-1E46-BCD4-E41F2E42C192}">
    <text>Source: Datadog SEC filings (10-K, 10-Q) via EDGAR and company earnings releases on investors.datadoghq.com. Working capital changes derived from balance sheet movements.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95D0377-6FA2-4148-98BB-4EF523B9053C}">
  <we:reference id="wa200009404" version="1.0.0.8" store="en-US" storeType="OMEX"/>
  <we:alternateReferences>
    <we:reference id="WA200009404" version="1.0.0.8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40C4-4275-0844-8425-D095914C20DF}">
  <dimension ref="A1:J86"/>
  <sheetViews>
    <sheetView workbookViewId="0">
      <pane xSplit="1" ySplit="3" topLeftCell="B41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6" x14ac:dyDescent="0.2"/>
  <cols>
    <col min="1" max="1" width="51.6640625" customWidth="1"/>
    <col min="2" max="10" width="17.5" customWidth="1"/>
  </cols>
  <sheetData>
    <row r="1" spans="1:10" ht="28" customHeight="1" x14ac:dyDescent="0.25">
      <c r="A1" s="2" t="s">
        <v>0</v>
      </c>
    </row>
    <row r="2" spans="1:10" ht="18" customHeight="1" x14ac:dyDescent="0.2">
      <c r="A2" s="4" t="s">
        <v>1</v>
      </c>
    </row>
    <row r="3" spans="1:10" ht="24" customHeight="1" thickBot="1" x14ac:dyDescent="0.25">
      <c r="A3" s="54" t="s">
        <v>208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6" t="s">
        <v>7</v>
      </c>
      <c r="H3" s="55" t="s">
        <v>8</v>
      </c>
      <c r="I3" s="55" t="s">
        <v>9</v>
      </c>
      <c r="J3" s="55" t="s">
        <v>10</v>
      </c>
    </row>
    <row r="4" spans="1:10" ht="22" customHeight="1" x14ac:dyDescent="0.2">
      <c r="A4" s="25" t="s">
        <v>11</v>
      </c>
      <c r="B4" s="26"/>
      <c r="C4" s="26"/>
      <c r="D4" s="26"/>
      <c r="E4" s="26"/>
      <c r="F4" s="26"/>
      <c r="G4" s="38"/>
      <c r="H4" s="26"/>
      <c r="I4" s="26"/>
      <c r="J4" s="26"/>
    </row>
    <row r="5" spans="1:10" ht="20" customHeight="1" x14ac:dyDescent="0.2">
      <c r="A5" s="13" t="s">
        <v>12</v>
      </c>
      <c r="B5" s="14">
        <v>603044</v>
      </c>
      <c r="C5" s="14">
        <v>885077</v>
      </c>
      <c r="D5" s="14">
        <v>1351718</v>
      </c>
      <c r="E5" s="14">
        <v>2076076</v>
      </c>
      <c r="F5" s="14">
        <v>2622906</v>
      </c>
      <c r="G5" s="39">
        <v>3352700</v>
      </c>
      <c r="H5" s="30">
        <f>G5*1.19</f>
        <v>3989713</v>
      </c>
      <c r="I5" s="30">
        <f>H5*1.2</f>
        <v>4787655.5999999996</v>
      </c>
      <c r="J5" s="30">
        <f>I5*1.18</f>
        <v>5649433.6079999991</v>
      </c>
    </row>
    <row r="6" spans="1:10" ht="20" customHeight="1" x14ac:dyDescent="0.2">
      <c r="A6" s="13" t="s">
        <v>13</v>
      </c>
      <c r="B6" s="14">
        <v>0</v>
      </c>
      <c r="C6" s="14">
        <v>5788</v>
      </c>
      <c r="D6" s="14">
        <v>3342</v>
      </c>
      <c r="E6" s="14">
        <v>52354</v>
      </c>
      <c r="F6" s="14">
        <v>61424</v>
      </c>
      <c r="G6" s="39">
        <v>74500</v>
      </c>
      <c r="H6" s="30">
        <f>G6*1.12</f>
        <v>83440.000000000015</v>
      </c>
      <c r="I6" s="30">
        <f>H6*1.12</f>
        <v>93452.800000000032</v>
      </c>
      <c r="J6" s="30">
        <f>I6*1.1</f>
        <v>102798.08000000005</v>
      </c>
    </row>
    <row r="7" spans="1:10" ht="20" customHeight="1" thickBot="1" x14ac:dyDescent="0.25">
      <c r="A7" s="19" t="s">
        <v>14</v>
      </c>
      <c r="B7" s="60">
        <v>603044</v>
      </c>
      <c r="C7" s="60">
        <v>890865</v>
      </c>
      <c r="D7" s="60">
        <v>1675060</v>
      </c>
      <c r="E7" s="60">
        <v>2128430</v>
      </c>
      <c r="F7" s="60">
        <v>2684330</v>
      </c>
      <c r="G7" s="61">
        <v>3427200</v>
      </c>
      <c r="H7" s="62">
        <f>H5+H6</f>
        <v>4073153</v>
      </c>
      <c r="I7" s="62">
        <f>I5+I6</f>
        <v>4881108.3999999994</v>
      </c>
      <c r="J7" s="62">
        <f>J5+J6</f>
        <v>5752231.6879999992</v>
      </c>
    </row>
    <row r="8" spans="1:10" ht="8" customHeight="1" thickTop="1" x14ac:dyDescent="0.2">
      <c r="G8" s="41"/>
      <c r="H8" s="32"/>
      <c r="I8" s="32"/>
      <c r="J8" s="32"/>
    </row>
    <row r="9" spans="1:10" ht="22" customHeight="1" x14ac:dyDescent="0.2">
      <c r="A9" s="25" t="s">
        <v>15</v>
      </c>
      <c r="B9" s="26"/>
      <c r="C9" s="26"/>
      <c r="D9" s="26"/>
      <c r="E9" s="26"/>
      <c r="F9" s="26"/>
      <c r="G9" s="38"/>
      <c r="H9" s="26"/>
      <c r="I9" s="26"/>
      <c r="J9" s="26"/>
    </row>
    <row r="10" spans="1:10" ht="20" customHeight="1" x14ac:dyDescent="0.2">
      <c r="A10" s="13" t="s">
        <v>16</v>
      </c>
      <c r="B10" s="14">
        <v>107000</v>
      </c>
      <c r="C10" s="14">
        <v>143000</v>
      </c>
      <c r="D10" s="14">
        <v>237000</v>
      </c>
      <c r="E10" s="14">
        <v>278000</v>
      </c>
      <c r="F10" s="14">
        <v>327000</v>
      </c>
      <c r="G10" s="39">
        <v>402000</v>
      </c>
      <c r="H10" s="30">
        <f>H7*0.125</f>
        <v>509144.125</v>
      </c>
      <c r="I10" s="30">
        <f>I7*0.115</f>
        <v>561327.46600000001</v>
      </c>
      <c r="J10" s="30">
        <f>J7*0.11</f>
        <v>632745.48567999993</v>
      </c>
    </row>
    <row r="11" spans="1:10" ht="20" customHeight="1" x14ac:dyDescent="0.2">
      <c r="A11" s="13" t="s">
        <v>17</v>
      </c>
      <c r="B11" s="14">
        <v>30000</v>
      </c>
      <c r="C11" s="14">
        <v>42000</v>
      </c>
      <c r="D11" s="14">
        <v>65000</v>
      </c>
      <c r="E11" s="14">
        <v>85000</v>
      </c>
      <c r="F11" s="14">
        <v>108000</v>
      </c>
      <c r="G11" s="39">
        <v>138000</v>
      </c>
      <c r="H11" s="30">
        <f>H7*0.04</f>
        <v>162926.12</v>
      </c>
      <c r="I11" s="30">
        <f>I7*0.039</f>
        <v>190363.22759999998</v>
      </c>
      <c r="J11" s="30">
        <f>J7*0.038</f>
        <v>218584.80414399997</v>
      </c>
    </row>
    <row r="12" spans="1:10" ht="20" customHeight="1" x14ac:dyDescent="0.2">
      <c r="A12" s="13" t="s">
        <v>18</v>
      </c>
      <c r="B12" s="14">
        <v>8000</v>
      </c>
      <c r="C12" s="14">
        <v>18000</v>
      </c>
      <c r="D12" s="14">
        <v>39000</v>
      </c>
      <c r="E12" s="14">
        <v>59000</v>
      </c>
      <c r="F12" s="14">
        <v>53000</v>
      </c>
      <c r="G12" s="39">
        <v>47000</v>
      </c>
      <c r="H12" s="30">
        <f>G12*0.95</f>
        <v>44650</v>
      </c>
      <c r="I12" s="30">
        <f>H12*0.95</f>
        <v>42417.5</v>
      </c>
      <c r="J12" s="30">
        <f>I12*0.95</f>
        <v>40296.625</v>
      </c>
    </row>
    <row r="13" spans="1:10" ht="20" customHeight="1" x14ac:dyDescent="0.2">
      <c r="A13" s="13" t="s">
        <v>19</v>
      </c>
      <c r="B13" s="14">
        <v>8567</v>
      </c>
      <c r="C13" s="14">
        <v>15849</v>
      </c>
      <c r="D13" s="14">
        <v>34020</v>
      </c>
      <c r="E13" s="14">
        <v>43982</v>
      </c>
      <c r="F13" s="14">
        <v>56164</v>
      </c>
      <c r="G13" s="39">
        <v>72000</v>
      </c>
      <c r="H13" s="30">
        <f>H7*0.02</f>
        <v>81463.06</v>
      </c>
      <c r="I13" s="30">
        <f>I7*0.019</f>
        <v>92741.059599999993</v>
      </c>
      <c r="J13" s="30">
        <f>J7*0.018</f>
        <v>103540.17038399998</v>
      </c>
    </row>
    <row r="14" spans="1:10" ht="20" customHeight="1" x14ac:dyDescent="0.2">
      <c r="A14" s="13" t="s">
        <v>20</v>
      </c>
      <c r="B14" s="14">
        <v>2300</v>
      </c>
      <c r="C14" s="14">
        <v>2800</v>
      </c>
      <c r="D14" s="14">
        <v>4700</v>
      </c>
      <c r="E14" s="14">
        <v>5400</v>
      </c>
      <c r="F14" s="14">
        <v>5800</v>
      </c>
      <c r="G14" s="39">
        <v>6000</v>
      </c>
      <c r="H14" s="30">
        <f>G14*1.1</f>
        <v>6600.0000000000009</v>
      </c>
      <c r="I14" s="30">
        <f>H14*1.05</f>
        <v>6930.0000000000009</v>
      </c>
      <c r="J14" s="30">
        <f>I14*1</f>
        <v>6930.0000000000009</v>
      </c>
    </row>
    <row r="15" spans="1:10" ht="20" customHeight="1" x14ac:dyDescent="0.2">
      <c r="A15" s="13" t="s">
        <v>21</v>
      </c>
      <c r="B15" s="14">
        <v>5133</v>
      </c>
      <c r="C15" s="14">
        <v>6351</v>
      </c>
      <c r="D15" s="14">
        <v>8280</v>
      </c>
      <c r="E15" s="14">
        <v>9618</v>
      </c>
      <c r="F15" s="14">
        <v>10636</v>
      </c>
      <c r="G15" s="39">
        <v>13500</v>
      </c>
      <c r="H15" s="30">
        <f>H7*0.004</f>
        <v>16292.612000000001</v>
      </c>
      <c r="I15" s="30">
        <f>I7*0.004</f>
        <v>19524.433599999997</v>
      </c>
      <c r="J15" s="30">
        <f>J7*0.004</f>
        <v>23008.926751999996</v>
      </c>
    </row>
    <row r="16" spans="1:10" ht="20" customHeight="1" x14ac:dyDescent="0.2">
      <c r="A16" s="19" t="s">
        <v>22</v>
      </c>
      <c r="B16" s="57">
        <v>161000</v>
      </c>
      <c r="C16" s="57">
        <v>228000</v>
      </c>
      <c r="D16" s="57">
        <v>388000</v>
      </c>
      <c r="E16" s="57">
        <v>481000</v>
      </c>
      <c r="F16" s="57">
        <v>560600</v>
      </c>
      <c r="G16" s="58">
        <v>678500</v>
      </c>
      <c r="H16" s="59">
        <f>SUM(H10:H15)</f>
        <v>821075.9169999999</v>
      </c>
      <c r="I16" s="59">
        <f>SUM(I10:I15)</f>
        <v>913303.68680000002</v>
      </c>
      <c r="J16" s="59">
        <f>SUM(J10:J15)</f>
        <v>1025106.0119599998</v>
      </c>
    </row>
    <row r="17" spans="1:10" ht="8" customHeight="1" x14ac:dyDescent="0.2">
      <c r="G17" s="41"/>
      <c r="H17" s="32"/>
      <c r="I17" s="32"/>
      <c r="J17" s="32"/>
    </row>
    <row r="18" spans="1:10" ht="20" customHeight="1" x14ac:dyDescent="0.2">
      <c r="A18" s="19" t="s">
        <v>23</v>
      </c>
      <c r="B18" s="23">
        <f>B7-B16</f>
        <v>442044</v>
      </c>
      <c r="C18" s="23">
        <f t="shared" ref="C18:J18" si="0">C7-C16</f>
        <v>662865</v>
      </c>
      <c r="D18" s="23">
        <f t="shared" si="0"/>
        <v>1287060</v>
      </c>
      <c r="E18" s="23">
        <f t="shared" si="0"/>
        <v>1647430</v>
      </c>
      <c r="F18" s="23">
        <f t="shared" si="0"/>
        <v>2123730</v>
      </c>
      <c r="G18" s="43">
        <f t="shared" si="0"/>
        <v>2748700</v>
      </c>
      <c r="H18" s="34">
        <f t="shared" si="0"/>
        <v>3252077.0830000001</v>
      </c>
      <c r="I18" s="34">
        <f t="shared" si="0"/>
        <v>3967804.7131999992</v>
      </c>
      <c r="J18" s="34">
        <f t="shared" si="0"/>
        <v>4727125.6760399994</v>
      </c>
    </row>
    <row r="19" spans="1:10" ht="8" customHeight="1" x14ac:dyDescent="0.2">
      <c r="G19" s="41"/>
      <c r="H19" s="32"/>
      <c r="I19" s="32"/>
      <c r="J19" s="32"/>
    </row>
    <row r="20" spans="1:10" ht="22" customHeight="1" x14ac:dyDescent="0.2">
      <c r="A20" s="25" t="s">
        <v>24</v>
      </c>
      <c r="B20" s="26"/>
      <c r="C20" s="26"/>
      <c r="D20" s="26"/>
      <c r="E20" s="26"/>
      <c r="F20" s="26"/>
      <c r="G20" s="38"/>
      <c r="H20" s="26"/>
      <c r="I20" s="26"/>
      <c r="J20" s="26"/>
    </row>
    <row r="21" spans="1:10" ht="8" customHeight="1" x14ac:dyDescent="0.2">
      <c r="G21" s="41"/>
      <c r="H21" s="32"/>
      <c r="I21" s="32"/>
      <c r="J21" s="32"/>
    </row>
    <row r="22" spans="1:10" ht="22" customHeight="1" x14ac:dyDescent="0.2">
      <c r="A22" s="29" t="s">
        <v>25</v>
      </c>
      <c r="B22" s="27"/>
      <c r="C22" s="27"/>
      <c r="D22" s="27"/>
      <c r="E22" s="27"/>
      <c r="F22" s="27"/>
      <c r="G22" s="44"/>
      <c r="H22" s="28"/>
      <c r="I22" s="28"/>
      <c r="J22" s="28"/>
    </row>
    <row r="23" spans="1:10" ht="20" customHeight="1" x14ac:dyDescent="0.2">
      <c r="A23" s="13" t="s">
        <v>26</v>
      </c>
      <c r="B23" s="14">
        <v>142000</v>
      </c>
      <c r="C23" s="14">
        <v>218000</v>
      </c>
      <c r="D23" s="14">
        <v>365000</v>
      </c>
      <c r="E23" s="14">
        <v>465000</v>
      </c>
      <c r="F23" s="14">
        <v>567000</v>
      </c>
      <c r="G23" s="39">
        <v>710000</v>
      </c>
      <c r="H23" s="30">
        <f>G23*1.55</f>
        <v>1100500</v>
      </c>
      <c r="I23" s="30">
        <f>H23*1.15</f>
        <v>1265575</v>
      </c>
      <c r="J23" s="30">
        <f>I23*1.12</f>
        <v>1417444.0000000002</v>
      </c>
    </row>
    <row r="24" spans="1:10" ht="20" customHeight="1" x14ac:dyDescent="0.2">
      <c r="A24" s="13" t="s">
        <v>27</v>
      </c>
      <c r="B24" s="14">
        <v>46500</v>
      </c>
      <c r="C24" s="14">
        <v>82000</v>
      </c>
      <c r="D24" s="14">
        <v>173000</v>
      </c>
      <c r="E24" s="14">
        <v>268000</v>
      </c>
      <c r="F24" s="14">
        <v>360000</v>
      </c>
      <c r="G24" s="39">
        <v>455000</v>
      </c>
      <c r="H24" s="30">
        <f>H7*0.175</f>
        <v>712801.77499999991</v>
      </c>
      <c r="I24" s="30">
        <f>I7*0.165</f>
        <v>805382.88599999994</v>
      </c>
      <c r="J24" s="30">
        <f>J7*0.155</f>
        <v>891595.91163999983</v>
      </c>
    </row>
    <row r="25" spans="1:10" ht="20" customHeight="1" x14ac:dyDescent="0.2">
      <c r="A25" s="13" t="s">
        <v>28</v>
      </c>
      <c r="B25" s="14">
        <v>4000</v>
      </c>
      <c r="C25" s="14">
        <v>8000</v>
      </c>
      <c r="D25" s="14">
        <v>8000</v>
      </c>
      <c r="E25" s="14">
        <v>10000</v>
      </c>
      <c r="F25" s="14">
        <v>15000</v>
      </c>
      <c r="G25" s="39">
        <v>20000</v>
      </c>
      <c r="H25" s="30">
        <f>H24*0.044</f>
        <v>31363.278099999992</v>
      </c>
      <c r="I25" s="30">
        <f>I24*0.044</f>
        <v>35436.846983999996</v>
      </c>
      <c r="J25" s="30">
        <f>J24*0.044</f>
        <v>39230.220112159994</v>
      </c>
    </row>
    <row r="26" spans="1:10" ht="20" customHeight="1" x14ac:dyDescent="0.2">
      <c r="A26" s="13" t="s">
        <v>29</v>
      </c>
      <c r="B26" s="14">
        <v>-12000</v>
      </c>
      <c r="C26" s="14">
        <v>-32000</v>
      </c>
      <c r="D26" s="14">
        <v>-63000</v>
      </c>
      <c r="E26" s="14">
        <v>-74000</v>
      </c>
      <c r="F26" s="14">
        <v>-62000</v>
      </c>
      <c r="G26" s="39">
        <v>-68000</v>
      </c>
      <c r="H26" s="30">
        <f>-H7*0.0175</f>
        <v>-71280.177500000005</v>
      </c>
      <c r="I26" s="30">
        <f>-I7*0.016</f>
        <v>-78097.734399999987</v>
      </c>
      <c r="J26" s="30">
        <f>-J7*0.016</f>
        <v>-92035.707007999983</v>
      </c>
    </row>
    <row r="27" spans="1:10" ht="20" customHeight="1" x14ac:dyDescent="0.2">
      <c r="A27" s="13" t="s">
        <v>30</v>
      </c>
      <c r="B27" s="14">
        <v>3500</v>
      </c>
      <c r="C27" s="14">
        <v>6000</v>
      </c>
      <c r="D27" s="14">
        <v>9000</v>
      </c>
      <c r="E27" s="14">
        <v>12000</v>
      </c>
      <c r="F27" s="14">
        <v>15000</v>
      </c>
      <c r="G27" s="39">
        <v>18000</v>
      </c>
      <c r="H27" s="30">
        <f>H7*0.005</f>
        <v>20365.764999999999</v>
      </c>
      <c r="I27" s="30">
        <f>I7*0.005</f>
        <v>24405.541999999998</v>
      </c>
      <c r="J27" s="30">
        <f>J7*0.005</f>
        <v>28761.158439999996</v>
      </c>
    </row>
    <row r="28" spans="1:10" ht="20" customHeight="1" x14ac:dyDescent="0.2">
      <c r="A28" s="19" t="s">
        <v>31</v>
      </c>
      <c r="B28" s="87">
        <v>184000</v>
      </c>
      <c r="C28" s="87">
        <v>282000</v>
      </c>
      <c r="D28" s="87">
        <v>492000</v>
      </c>
      <c r="E28" s="87">
        <v>681000</v>
      </c>
      <c r="F28" s="87">
        <v>895000</v>
      </c>
      <c r="G28" s="88">
        <v>1135000</v>
      </c>
      <c r="H28" s="89">
        <f>SUM(H23:H27)</f>
        <v>1793750.6405999998</v>
      </c>
      <c r="I28" s="89">
        <f>SUM(I23:I27)</f>
        <v>2052702.5405839998</v>
      </c>
      <c r="J28" s="89">
        <f>SUM(J23:J27)</f>
        <v>2284995.5831841598</v>
      </c>
    </row>
    <row r="29" spans="1:10" ht="8" customHeight="1" x14ac:dyDescent="0.2">
      <c r="G29" s="41"/>
      <c r="H29" s="32"/>
      <c r="I29" s="32"/>
      <c r="J29" s="32"/>
    </row>
    <row r="30" spans="1:10" ht="22" customHeight="1" x14ac:dyDescent="0.2">
      <c r="A30" s="29" t="s">
        <v>32</v>
      </c>
      <c r="B30" s="27"/>
      <c r="C30" s="27"/>
      <c r="D30" s="27"/>
      <c r="E30" s="27"/>
      <c r="F30" s="27"/>
      <c r="G30" s="44"/>
      <c r="H30" s="28"/>
      <c r="I30" s="28"/>
      <c r="J30" s="28"/>
    </row>
    <row r="31" spans="1:10" ht="20" customHeight="1" x14ac:dyDescent="0.2">
      <c r="A31" s="13" t="s">
        <v>33</v>
      </c>
      <c r="B31" s="14">
        <v>132000</v>
      </c>
      <c r="C31" s="14">
        <v>191000</v>
      </c>
      <c r="D31" s="14">
        <v>305000</v>
      </c>
      <c r="E31" s="14">
        <v>377000</v>
      </c>
      <c r="F31" s="14">
        <v>456000</v>
      </c>
      <c r="G31" s="39">
        <v>570000</v>
      </c>
      <c r="H31" s="30">
        <f>H7*0.205</f>
        <v>834996.36499999999</v>
      </c>
      <c r="I31" s="30">
        <f>I7*0.195</f>
        <v>951816.13799999992</v>
      </c>
      <c r="J31" s="30">
        <f>J7*0.185</f>
        <v>1064162.8622799998</v>
      </c>
    </row>
    <row r="32" spans="1:10" ht="20" customHeight="1" x14ac:dyDescent="0.2">
      <c r="A32" s="13" t="s">
        <v>34</v>
      </c>
      <c r="B32" s="14">
        <v>23000</v>
      </c>
      <c r="C32" s="14">
        <v>42000</v>
      </c>
      <c r="D32" s="14">
        <v>87000</v>
      </c>
      <c r="E32" s="14">
        <v>118000</v>
      </c>
      <c r="F32" s="14">
        <v>148000</v>
      </c>
      <c r="G32" s="39">
        <v>188000</v>
      </c>
      <c r="H32" s="30">
        <f>H7*0.064</f>
        <v>260681.79200000002</v>
      </c>
      <c r="I32" s="30">
        <f>I7*0.062</f>
        <v>302628.72079999995</v>
      </c>
      <c r="J32" s="30">
        <f>J7*0.058</f>
        <v>333629.43790399999</v>
      </c>
    </row>
    <row r="33" spans="1:10" ht="20" customHeight="1" x14ac:dyDescent="0.2">
      <c r="A33" s="13" t="s">
        <v>35</v>
      </c>
      <c r="B33" s="14">
        <v>2000</v>
      </c>
      <c r="C33" s="14">
        <v>4000</v>
      </c>
      <c r="D33" s="14">
        <v>4000</v>
      </c>
      <c r="E33" s="14">
        <v>5000</v>
      </c>
      <c r="F33" s="14">
        <v>7000</v>
      </c>
      <c r="G33" s="39">
        <v>10000</v>
      </c>
      <c r="H33" s="30">
        <f>H32*0.053</f>
        <v>13816.134976000001</v>
      </c>
      <c r="I33" s="30">
        <f>I32*0.053</f>
        <v>16039.322202399997</v>
      </c>
      <c r="J33" s="30">
        <f>J32*0.053</f>
        <v>17682.360208912</v>
      </c>
    </row>
    <row r="34" spans="1:10" ht="20" customHeight="1" x14ac:dyDescent="0.2">
      <c r="A34" s="13" t="s">
        <v>36</v>
      </c>
      <c r="B34" s="14">
        <v>18000</v>
      </c>
      <c r="C34" s="14">
        <v>26000</v>
      </c>
      <c r="D34" s="14">
        <v>42000</v>
      </c>
      <c r="E34" s="14">
        <v>52000</v>
      </c>
      <c r="F34" s="14">
        <v>62000</v>
      </c>
      <c r="G34" s="39">
        <v>78000</v>
      </c>
      <c r="H34" s="30">
        <f>H7*0.045</f>
        <v>183291.88499999998</v>
      </c>
      <c r="I34" s="30">
        <f>I7*0.04</f>
        <v>195244.33599999998</v>
      </c>
      <c r="J34" s="30">
        <f>J7*0.036</f>
        <v>207080.34076799997</v>
      </c>
    </row>
    <row r="35" spans="1:10" ht="20" customHeight="1" x14ac:dyDescent="0.2">
      <c r="A35" s="13" t="s">
        <v>37</v>
      </c>
      <c r="B35" s="14">
        <v>18000</v>
      </c>
      <c r="C35" s="14">
        <v>29000</v>
      </c>
      <c r="D35" s="14">
        <v>46000</v>
      </c>
      <c r="E35" s="14">
        <v>62000</v>
      </c>
      <c r="F35" s="14">
        <v>79000</v>
      </c>
      <c r="G35" s="39">
        <v>99000</v>
      </c>
      <c r="H35" s="30">
        <f>H7*0.035</f>
        <v>142560.35500000001</v>
      </c>
      <c r="I35" s="30">
        <f>I7*0.032</f>
        <v>156195.46879999997</v>
      </c>
      <c r="J35" s="30">
        <f>J7*0.03</f>
        <v>172566.95063999997</v>
      </c>
    </row>
    <row r="36" spans="1:10" ht="20" customHeight="1" x14ac:dyDescent="0.2">
      <c r="A36" s="13" t="s">
        <v>38</v>
      </c>
      <c r="B36" s="14">
        <v>4000</v>
      </c>
      <c r="C36" s="14">
        <v>6000</v>
      </c>
      <c r="D36" s="14">
        <v>9000</v>
      </c>
      <c r="E36" s="14">
        <v>11000</v>
      </c>
      <c r="F36" s="14">
        <v>13000</v>
      </c>
      <c r="G36" s="39">
        <v>16000</v>
      </c>
      <c r="H36" s="30">
        <f>H7*0.004</f>
        <v>16292.612000000001</v>
      </c>
      <c r="I36" s="30">
        <f>I7*0.004</f>
        <v>19524.433599999997</v>
      </c>
      <c r="J36" s="30">
        <f>J7*0.004</f>
        <v>23008.926751999996</v>
      </c>
    </row>
    <row r="37" spans="1:10" ht="20" customHeight="1" x14ac:dyDescent="0.2">
      <c r="A37" s="19" t="s">
        <v>39</v>
      </c>
      <c r="B37" s="87">
        <v>197000</v>
      </c>
      <c r="C37" s="87">
        <v>298000</v>
      </c>
      <c r="D37" s="87">
        <v>493000</v>
      </c>
      <c r="E37" s="87">
        <v>625000</v>
      </c>
      <c r="F37" s="87">
        <v>765000</v>
      </c>
      <c r="G37" s="88">
        <v>961000</v>
      </c>
      <c r="H37" s="89">
        <f>SUM(H31:H36)</f>
        <v>1451639.1439760001</v>
      </c>
      <c r="I37" s="89">
        <f>SUM(I31:I36)</f>
        <v>1641448.4194023998</v>
      </c>
      <c r="J37" s="89">
        <f>SUM(J31:J36)</f>
        <v>1818130.8785529116</v>
      </c>
    </row>
    <row r="38" spans="1:10" ht="8" customHeight="1" x14ac:dyDescent="0.2">
      <c r="G38" s="41"/>
      <c r="H38" s="32"/>
      <c r="I38" s="32"/>
      <c r="J38" s="32"/>
    </row>
    <row r="39" spans="1:10" ht="22" customHeight="1" x14ac:dyDescent="0.2">
      <c r="A39" s="29" t="s">
        <v>40</v>
      </c>
      <c r="B39" s="27"/>
      <c r="C39" s="27"/>
      <c r="D39" s="27"/>
      <c r="E39" s="27"/>
      <c r="F39" s="27"/>
      <c r="G39" s="44"/>
      <c r="H39" s="28"/>
      <c r="I39" s="28"/>
      <c r="J39" s="28"/>
    </row>
    <row r="40" spans="1:10" ht="20" customHeight="1" x14ac:dyDescent="0.2">
      <c r="A40" s="13" t="s">
        <v>41</v>
      </c>
      <c r="B40" s="14">
        <v>35000</v>
      </c>
      <c r="C40" s="14">
        <v>50000</v>
      </c>
      <c r="D40" s="14">
        <v>73000</v>
      </c>
      <c r="E40" s="14">
        <v>88000</v>
      </c>
      <c r="F40" s="14">
        <v>105000</v>
      </c>
      <c r="G40" s="39">
        <v>130000</v>
      </c>
      <c r="H40" s="30">
        <f>H7*0.043</f>
        <v>175145.579</v>
      </c>
      <c r="I40" s="30">
        <f>I7*0.04</f>
        <v>195244.33599999998</v>
      </c>
      <c r="J40" s="30">
        <f>J7*0.038</f>
        <v>218584.80414399997</v>
      </c>
    </row>
    <row r="41" spans="1:10" ht="20" customHeight="1" x14ac:dyDescent="0.2">
      <c r="A41" s="13" t="s">
        <v>42</v>
      </c>
      <c r="B41" s="14">
        <v>13500</v>
      </c>
      <c r="C41" s="14">
        <v>22000</v>
      </c>
      <c r="D41" s="14">
        <v>46000</v>
      </c>
      <c r="E41" s="14">
        <v>59000</v>
      </c>
      <c r="F41" s="14">
        <v>72000</v>
      </c>
      <c r="G41" s="39">
        <v>90000</v>
      </c>
      <c r="H41" s="30">
        <f>H7*0.0295</f>
        <v>120158.0135</v>
      </c>
      <c r="I41" s="30">
        <f>I7*0.028</f>
        <v>136671.03519999998</v>
      </c>
      <c r="J41" s="30">
        <f>J7*0.026</f>
        <v>149558.02388799997</v>
      </c>
    </row>
    <row r="42" spans="1:10" ht="20" customHeight="1" x14ac:dyDescent="0.2">
      <c r="A42" s="13" t="s">
        <v>43</v>
      </c>
      <c r="B42" s="14">
        <v>1000</v>
      </c>
      <c r="C42" s="14">
        <v>2000</v>
      </c>
      <c r="D42" s="14">
        <v>2000</v>
      </c>
      <c r="E42" s="14">
        <v>3000</v>
      </c>
      <c r="F42" s="14">
        <v>4000</v>
      </c>
      <c r="G42" s="39">
        <v>5000</v>
      </c>
      <c r="H42" s="30">
        <f>H41*0.056</f>
        <v>6728.8487560000003</v>
      </c>
      <c r="I42" s="30">
        <f>I41*0.056</f>
        <v>7653.5779711999994</v>
      </c>
      <c r="J42" s="30">
        <f>J41*0.056</f>
        <v>8375.2493377279989</v>
      </c>
    </row>
    <row r="43" spans="1:10" ht="20" customHeight="1" x14ac:dyDescent="0.2">
      <c r="A43" s="13" t="s">
        <v>44</v>
      </c>
      <c r="B43" s="14">
        <v>9000</v>
      </c>
      <c r="C43" s="14">
        <v>12000</v>
      </c>
      <c r="D43" s="14">
        <v>18000</v>
      </c>
      <c r="E43" s="14">
        <v>21000</v>
      </c>
      <c r="F43" s="14">
        <v>25000</v>
      </c>
      <c r="G43" s="39">
        <v>30000</v>
      </c>
      <c r="H43" s="30">
        <f>H7*0.012</f>
        <v>48877.836000000003</v>
      </c>
      <c r="I43" s="30">
        <f>I7*0.011</f>
        <v>53692.192399999993</v>
      </c>
      <c r="J43" s="30">
        <f>J7*0.01</f>
        <v>57522.316879999991</v>
      </c>
    </row>
    <row r="44" spans="1:10" ht="20" customHeight="1" x14ac:dyDescent="0.2">
      <c r="A44" s="13" t="s">
        <v>45</v>
      </c>
      <c r="B44" s="14">
        <v>4500</v>
      </c>
      <c r="C44" s="14">
        <v>6000</v>
      </c>
      <c r="D44" s="14">
        <v>10000</v>
      </c>
      <c r="E44" s="14">
        <v>14000</v>
      </c>
      <c r="F44" s="14">
        <v>15000</v>
      </c>
      <c r="G44" s="39">
        <v>18000</v>
      </c>
      <c r="H44" s="30">
        <f>H7*0.007</f>
        <v>28512.071</v>
      </c>
      <c r="I44" s="30">
        <f>I7*0.006</f>
        <v>29286.650399999999</v>
      </c>
      <c r="J44" s="30">
        <f>J7*0.005</f>
        <v>28761.158439999996</v>
      </c>
    </row>
    <row r="45" spans="1:10" ht="20" customHeight="1" x14ac:dyDescent="0.2">
      <c r="A45" s="19" t="s">
        <v>46</v>
      </c>
      <c r="B45" s="87">
        <v>63000</v>
      </c>
      <c r="C45" s="87">
        <v>92000</v>
      </c>
      <c r="D45" s="87">
        <v>149000</v>
      </c>
      <c r="E45" s="87">
        <v>185000</v>
      </c>
      <c r="F45" s="87">
        <v>221000</v>
      </c>
      <c r="G45" s="88">
        <v>273000</v>
      </c>
      <c r="H45" s="89">
        <f>SUM(H40:H44)</f>
        <v>379422.34825600003</v>
      </c>
      <c r="I45" s="89">
        <f>SUM(I40:I44)</f>
        <v>422547.79197119991</v>
      </c>
      <c r="J45" s="89">
        <f>SUM(J40:J44)</f>
        <v>462801.55268972792</v>
      </c>
    </row>
    <row r="46" spans="1:10" ht="8" customHeight="1" x14ac:dyDescent="0.2">
      <c r="G46" s="41"/>
      <c r="H46" s="32"/>
      <c r="I46" s="32"/>
      <c r="J46" s="32"/>
    </row>
    <row r="47" spans="1:10" ht="20" customHeight="1" x14ac:dyDescent="0.2">
      <c r="A47" s="20" t="s">
        <v>47</v>
      </c>
      <c r="B47" s="92"/>
      <c r="C47" s="92"/>
      <c r="D47" s="92"/>
      <c r="E47" s="92"/>
      <c r="F47" s="92"/>
      <c r="G47" s="93"/>
      <c r="H47" s="94"/>
      <c r="I47" s="94"/>
      <c r="J47" s="94"/>
    </row>
    <row r="48" spans="1:10" ht="8" customHeight="1" x14ac:dyDescent="0.2">
      <c r="A48" s="19"/>
      <c r="B48" s="23">
        <f>B28+B37+B45</f>
        <v>444000</v>
      </c>
      <c r="C48" s="23">
        <f t="shared" ref="C48:J48" si="1">C28+C37+C45</f>
        <v>672000</v>
      </c>
      <c r="D48" s="23">
        <f t="shared" si="1"/>
        <v>1134000</v>
      </c>
      <c r="E48" s="23">
        <f t="shared" si="1"/>
        <v>1491000</v>
      </c>
      <c r="F48" s="23">
        <f t="shared" si="1"/>
        <v>1881000</v>
      </c>
      <c r="G48" s="43">
        <f t="shared" si="1"/>
        <v>2369000</v>
      </c>
      <c r="H48" s="34">
        <f t="shared" si="1"/>
        <v>3624812.1328319996</v>
      </c>
      <c r="I48" s="34">
        <f t="shared" si="1"/>
        <v>4116698.7519576</v>
      </c>
      <c r="J48" s="34">
        <f t="shared" si="1"/>
        <v>4565928.0144267995</v>
      </c>
    </row>
    <row r="49" spans="1:10" ht="20" customHeight="1" x14ac:dyDescent="0.2">
      <c r="A49" s="20" t="s">
        <v>48</v>
      </c>
      <c r="B49" s="20"/>
      <c r="C49" s="20"/>
      <c r="D49" s="20"/>
      <c r="E49" s="20"/>
      <c r="F49" s="20"/>
      <c r="G49" s="90"/>
      <c r="H49" s="91"/>
      <c r="I49" s="91"/>
      <c r="J49" s="91"/>
    </row>
    <row r="50" spans="1:10" ht="20" customHeight="1" x14ac:dyDescent="0.2">
      <c r="A50" s="19"/>
      <c r="B50" s="95">
        <f>B18-B48</f>
        <v>-1956</v>
      </c>
      <c r="C50" s="95">
        <f t="shared" ref="C50:J50" si="2">C18-C48</f>
        <v>-9135</v>
      </c>
      <c r="D50" s="95">
        <f t="shared" si="2"/>
        <v>153060</v>
      </c>
      <c r="E50" s="95">
        <f t="shared" si="2"/>
        <v>156430</v>
      </c>
      <c r="F50" s="95">
        <f t="shared" si="2"/>
        <v>242730</v>
      </c>
      <c r="G50" s="96">
        <f t="shared" si="2"/>
        <v>379700</v>
      </c>
      <c r="H50" s="97">
        <f t="shared" si="2"/>
        <v>-372735.04983199947</v>
      </c>
      <c r="I50" s="97">
        <f t="shared" si="2"/>
        <v>-148894.03875760082</v>
      </c>
      <c r="J50" s="97">
        <f t="shared" si="2"/>
        <v>161197.66161319986</v>
      </c>
    </row>
    <row r="51" spans="1:10" ht="22" customHeight="1" x14ac:dyDescent="0.2">
      <c r="A51" s="25" t="s">
        <v>49</v>
      </c>
      <c r="B51" s="26"/>
      <c r="C51" s="26"/>
      <c r="D51" s="26"/>
      <c r="E51" s="26"/>
      <c r="F51" s="26"/>
      <c r="G51" s="38"/>
      <c r="H51" s="26"/>
      <c r="I51" s="26"/>
      <c r="J51" s="26"/>
    </row>
    <row r="52" spans="1:10" ht="20" customHeight="1" x14ac:dyDescent="0.2">
      <c r="A52" s="13" t="s">
        <v>50</v>
      </c>
      <c r="B52" s="14">
        <v>7600</v>
      </c>
      <c r="C52" s="14">
        <v>3200</v>
      </c>
      <c r="D52" s="14">
        <v>14000</v>
      </c>
      <c r="E52" s="14">
        <v>107000</v>
      </c>
      <c r="F52" s="14">
        <v>159000</v>
      </c>
      <c r="G52" s="39">
        <v>170000</v>
      </c>
      <c r="H52" s="30">
        <f>G52*1.02</f>
        <v>173400</v>
      </c>
      <c r="I52" s="30">
        <f>H52*0.95</f>
        <v>164730</v>
      </c>
      <c r="J52" s="30">
        <f>I52*0.95</f>
        <v>156493.5</v>
      </c>
    </row>
    <row r="53" spans="1:10" ht="20" customHeight="1" x14ac:dyDescent="0.2">
      <c r="A53" s="13" t="s">
        <v>51</v>
      </c>
      <c r="B53" s="14">
        <v>-9100</v>
      </c>
      <c r="C53" s="14">
        <v>-9300</v>
      </c>
      <c r="D53" s="14">
        <v>-1200</v>
      </c>
      <c r="E53" s="14">
        <v>-1200</v>
      </c>
      <c r="F53" s="14">
        <v>-2800</v>
      </c>
      <c r="G53" s="39">
        <v>-3500</v>
      </c>
      <c r="H53" s="30">
        <f t="shared" ref="H53:J54" si="3">G53</f>
        <v>-3500</v>
      </c>
      <c r="I53" s="30">
        <f t="shared" si="3"/>
        <v>-3500</v>
      </c>
      <c r="J53" s="30">
        <f t="shared" si="3"/>
        <v>-3500</v>
      </c>
    </row>
    <row r="54" spans="1:10" ht="20" customHeight="1" x14ac:dyDescent="0.2">
      <c r="A54" s="13" t="s">
        <v>52</v>
      </c>
      <c r="B54" s="14">
        <v>-2500</v>
      </c>
      <c r="C54" s="14">
        <v>1100</v>
      </c>
      <c r="D54" s="14">
        <v>-7800</v>
      </c>
      <c r="E54" s="14">
        <v>3200</v>
      </c>
      <c r="F54" s="14">
        <v>-2200</v>
      </c>
      <c r="G54" s="39">
        <v>-1500</v>
      </c>
      <c r="H54" s="30">
        <f t="shared" si="3"/>
        <v>-1500</v>
      </c>
      <c r="I54" s="30">
        <f t="shared" si="3"/>
        <v>-1500</v>
      </c>
      <c r="J54" s="30">
        <f t="shared" si="3"/>
        <v>-1500</v>
      </c>
    </row>
    <row r="55" spans="1:10" ht="20" customHeight="1" x14ac:dyDescent="0.2">
      <c r="A55" s="19" t="s">
        <v>53</v>
      </c>
      <c r="B55" s="23">
        <f>B52+B53+B54</f>
        <v>-4000</v>
      </c>
      <c r="C55" s="23">
        <f t="shared" ref="C55:J55" si="4">C52+C53+C54</f>
        <v>-5000</v>
      </c>
      <c r="D55" s="23">
        <f t="shared" si="4"/>
        <v>5000</v>
      </c>
      <c r="E55" s="23">
        <f t="shared" si="4"/>
        <v>109000</v>
      </c>
      <c r="F55" s="23">
        <f t="shared" si="4"/>
        <v>154000</v>
      </c>
      <c r="G55" s="43">
        <f t="shared" si="4"/>
        <v>165000</v>
      </c>
      <c r="H55" s="34">
        <f t="shared" si="4"/>
        <v>168400</v>
      </c>
      <c r="I55" s="34">
        <f t="shared" si="4"/>
        <v>159730</v>
      </c>
      <c r="J55" s="34">
        <f t="shared" si="4"/>
        <v>151493.5</v>
      </c>
    </row>
    <row r="56" spans="1:10" ht="8" customHeight="1" x14ac:dyDescent="0.2">
      <c r="G56" s="41"/>
      <c r="H56" s="32"/>
      <c r="I56" s="32"/>
      <c r="J56" s="32"/>
    </row>
    <row r="57" spans="1:10" ht="20" customHeight="1" x14ac:dyDescent="0.2">
      <c r="A57" s="19" t="s">
        <v>54</v>
      </c>
      <c r="B57" s="23">
        <f>B50+B55</f>
        <v>-5956</v>
      </c>
      <c r="C57" s="23">
        <f t="shared" ref="C57:J57" si="5">C50+C55</f>
        <v>-14135</v>
      </c>
      <c r="D57" s="23">
        <f t="shared" si="5"/>
        <v>158060</v>
      </c>
      <c r="E57" s="23">
        <f t="shared" si="5"/>
        <v>265430</v>
      </c>
      <c r="F57" s="23">
        <f t="shared" si="5"/>
        <v>396730</v>
      </c>
      <c r="G57" s="43">
        <f t="shared" si="5"/>
        <v>544700</v>
      </c>
      <c r="H57" s="34">
        <f t="shared" si="5"/>
        <v>-204335.04983199947</v>
      </c>
      <c r="I57" s="34">
        <f t="shared" si="5"/>
        <v>10835.961242399178</v>
      </c>
      <c r="J57" s="34">
        <f t="shared" si="5"/>
        <v>312691.16161319986</v>
      </c>
    </row>
    <row r="58" spans="1:10" ht="20" customHeight="1" x14ac:dyDescent="0.2">
      <c r="A58" t="s">
        <v>55</v>
      </c>
      <c r="B58" s="8">
        <v>3300</v>
      </c>
      <c r="C58" s="8">
        <v>8700</v>
      </c>
      <c r="D58" s="8">
        <v>26600</v>
      </c>
      <c r="E58" s="8">
        <v>41200</v>
      </c>
      <c r="F58" s="8">
        <v>-4400</v>
      </c>
      <c r="G58" s="45">
        <v>15000</v>
      </c>
      <c r="H58" s="30">
        <f>H57*0.04</f>
        <v>-8173.4019932799793</v>
      </c>
      <c r="I58" s="30">
        <f>I57*0.06</f>
        <v>650.15767454395063</v>
      </c>
      <c r="J58" s="30">
        <f>J57*0.08</f>
        <v>25015.292929055988</v>
      </c>
    </row>
    <row r="59" spans="1:10" ht="8" customHeight="1" x14ac:dyDescent="0.2">
      <c r="G59" s="41"/>
      <c r="H59" s="32"/>
      <c r="I59" s="32"/>
      <c r="J59" s="32"/>
    </row>
    <row r="60" spans="1:10" ht="20" customHeight="1" thickBot="1" x14ac:dyDescent="0.25">
      <c r="A60" s="71" t="s">
        <v>56</v>
      </c>
      <c r="B60" s="98">
        <f>B57-B58</f>
        <v>-9256</v>
      </c>
      <c r="C60" s="98">
        <f t="shared" ref="C60:J60" si="6">C57-C58</f>
        <v>-22835</v>
      </c>
      <c r="D60" s="98">
        <f t="shared" si="6"/>
        <v>131460</v>
      </c>
      <c r="E60" s="98">
        <f t="shared" si="6"/>
        <v>224230</v>
      </c>
      <c r="F60" s="98">
        <f t="shared" si="6"/>
        <v>401130</v>
      </c>
      <c r="G60" s="99">
        <f t="shared" si="6"/>
        <v>529700</v>
      </c>
      <c r="H60" s="100">
        <f t="shared" si="6"/>
        <v>-196161.64783871948</v>
      </c>
      <c r="I60" s="100">
        <f t="shared" si="6"/>
        <v>10185.803567855228</v>
      </c>
      <c r="J60" s="100">
        <f t="shared" si="6"/>
        <v>287675.86868414388</v>
      </c>
    </row>
    <row r="61" spans="1:10" ht="8" customHeight="1" thickTop="1" x14ac:dyDescent="0.2">
      <c r="G61" s="41"/>
      <c r="H61" s="32"/>
      <c r="I61" s="32"/>
      <c r="J61" s="32"/>
    </row>
    <row r="62" spans="1:10" ht="22" customHeight="1" x14ac:dyDescent="0.2">
      <c r="A62" s="25" t="s">
        <v>57</v>
      </c>
      <c r="B62" s="26"/>
      <c r="C62" s="26"/>
      <c r="D62" s="26"/>
      <c r="E62" s="26"/>
      <c r="F62" s="26"/>
      <c r="G62" s="38"/>
      <c r="H62" s="26"/>
      <c r="I62" s="26"/>
      <c r="J62" s="26"/>
    </row>
    <row r="63" spans="1:10" ht="20" customHeight="1" x14ac:dyDescent="0.2">
      <c r="A63" s="13" t="s">
        <v>58</v>
      </c>
      <c r="B63" s="15">
        <v>316000</v>
      </c>
      <c r="C63" s="15">
        <v>329000</v>
      </c>
      <c r="D63" s="15">
        <v>338000</v>
      </c>
      <c r="E63" s="15">
        <v>343000</v>
      </c>
      <c r="F63" s="15">
        <v>347000</v>
      </c>
      <c r="G63" s="46">
        <v>353000</v>
      </c>
      <c r="H63" s="35">
        <f t="shared" ref="H63:J64" si="7">G63*1.02</f>
        <v>360060</v>
      </c>
      <c r="I63" s="35">
        <f t="shared" si="7"/>
        <v>367261.2</v>
      </c>
      <c r="J63" s="35">
        <f t="shared" si="7"/>
        <v>374606.424</v>
      </c>
    </row>
    <row r="64" spans="1:10" ht="20" customHeight="1" x14ac:dyDescent="0.2">
      <c r="A64" s="13" t="s">
        <v>59</v>
      </c>
      <c r="B64" s="15">
        <v>331000</v>
      </c>
      <c r="C64" s="15">
        <v>355000</v>
      </c>
      <c r="D64" s="15">
        <v>360000</v>
      </c>
      <c r="E64" s="15">
        <v>363000</v>
      </c>
      <c r="F64" s="15">
        <v>364000</v>
      </c>
      <c r="G64" s="46">
        <v>370000</v>
      </c>
      <c r="H64" s="35">
        <f t="shared" si="7"/>
        <v>377400</v>
      </c>
      <c r="I64" s="35">
        <f t="shared" si="7"/>
        <v>384948</v>
      </c>
      <c r="J64" s="35">
        <f t="shared" si="7"/>
        <v>392646.96</v>
      </c>
    </row>
    <row r="65" spans="1:10" ht="20" customHeight="1" x14ac:dyDescent="0.2">
      <c r="A65" s="13" t="s">
        <v>60</v>
      </c>
      <c r="B65" s="16">
        <f>IF(B63=0,0,B60/B63)</f>
        <v>-2.9291139240506327E-2</v>
      </c>
      <c r="C65" s="16">
        <f t="shared" ref="C65:J65" si="8">IF(C63=0,0,C60/C63)</f>
        <v>-6.9407294832826746E-2</v>
      </c>
      <c r="D65" s="16">
        <f t="shared" si="8"/>
        <v>0.38893491124260354</v>
      </c>
      <c r="E65" s="16">
        <f t="shared" si="8"/>
        <v>0.653731778425656</v>
      </c>
      <c r="F65" s="16">
        <f t="shared" si="8"/>
        <v>1.1559942363112392</v>
      </c>
      <c r="G65" s="47">
        <f t="shared" si="8"/>
        <v>1.5005665722379604</v>
      </c>
      <c r="H65" s="36">
        <f t="shared" si="8"/>
        <v>-0.54480266577436953</v>
      </c>
      <c r="I65" s="36">
        <f t="shared" si="8"/>
        <v>2.7734494054518222E-2</v>
      </c>
      <c r="J65" s="36">
        <f t="shared" si="8"/>
        <v>0.76794163221329026</v>
      </c>
    </row>
    <row r="66" spans="1:10" ht="20" customHeight="1" x14ac:dyDescent="0.2">
      <c r="A66" s="13" t="s">
        <v>61</v>
      </c>
      <c r="B66" s="16">
        <f>IF(B64=0,0,B60/B64)</f>
        <v>-2.7963746223564956E-2</v>
      </c>
      <c r="C66" s="16">
        <f t="shared" ref="C66:J66" si="9">IF(C64=0,0,C60/C64)</f>
        <v>-6.4323943661971833E-2</v>
      </c>
      <c r="D66" s="16">
        <f t="shared" si="9"/>
        <v>0.36516666666666664</v>
      </c>
      <c r="E66" s="16">
        <f t="shared" si="9"/>
        <v>0.61771349862258951</v>
      </c>
      <c r="F66" s="16">
        <f t="shared" si="9"/>
        <v>1.1020054945054945</v>
      </c>
      <c r="G66" s="47">
        <f t="shared" si="9"/>
        <v>1.4316216216216215</v>
      </c>
      <c r="H66" s="36">
        <f t="shared" si="9"/>
        <v>-0.51977119194149302</v>
      </c>
      <c r="I66" s="36">
        <f t="shared" si="9"/>
        <v>2.646020648985117E-2</v>
      </c>
      <c r="J66" s="36">
        <f t="shared" si="9"/>
        <v>0.73265782748997688</v>
      </c>
    </row>
    <row r="67" spans="1:10" ht="8" customHeight="1" x14ac:dyDescent="0.2">
      <c r="G67" s="41"/>
      <c r="H67" s="32"/>
      <c r="I67" s="32"/>
      <c r="J67" s="32"/>
    </row>
    <row r="68" spans="1:10" ht="22" customHeight="1" x14ac:dyDescent="0.2">
      <c r="A68" s="25" t="s">
        <v>62</v>
      </c>
      <c r="B68" s="26"/>
      <c r="C68" s="26"/>
      <c r="D68" s="26"/>
      <c r="E68" s="26"/>
      <c r="F68" s="26"/>
      <c r="G68" s="38"/>
      <c r="H68" s="26"/>
      <c r="I68" s="26"/>
      <c r="J68" s="26"/>
    </row>
    <row r="69" spans="1:10" ht="20" customHeight="1" x14ac:dyDescent="0.2">
      <c r="A69" s="1" t="s">
        <v>63</v>
      </c>
      <c r="B69" s="5">
        <f>B70+B71+B72+B73</f>
        <v>91567</v>
      </c>
      <c r="C69" s="5">
        <f t="shared" ref="C69:J69" si="10">C70+C71+C72+C73</f>
        <v>161849</v>
      </c>
      <c r="D69" s="5">
        <f t="shared" si="10"/>
        <v>340020</v>
      </c>
      <c r="E69" s="5">
        <f t="shared" si="10"/>
        <v>488982</v>
      </c>
      <c r="F69" s="5">
        <f t="shared" si="10"/>
        <v>636164</v>
      </c>
      <c r="G69" s="48">
        <f t="shared" si="10"/>
        <v>805000</v>
      </c>
      <c r="H69" s="30">
        <f t="shared" si="10"/>
        <v>1175104.6404999997</v>
      </c>
      <c r="I69" s="30">
        <f t="shared" si="10"/>
        <v>1337423.7016</v>
      </c>
      <c r="J69" s="30">
        <f t="shared" si="10"/>
        <v>1478323.5438159998</v>
      </c>
    </row>
    <row r="70" spans="1:10" ht="20" customHeight="1" x14ac:dyDescent="0.2">
      <c r="A70" s="13" t="s">
        <v>64</v>
      </c>
      <c r="B70" s="17">
        <f>B13</f>
        <v>8567</v>
      </c>
      <c r="C70" s="17">
        <f t="shared" ref="C70:J70" si="11">C13</f>
        <v>15849</v>
      </c>
      <c r="D70" s="17">
        <f t="shared" si="11"/>
        <v>34020</v>
      </c>
      <c r="E70" s="17">
        <f t="shared" si="11"/>
        <v>43982</v>
      </c>
      <c r="F70" s="17">
        <f t="shared" si="11"/>
        <v>56164</v>
      </c>
      <c r="G70" s="49">
        <f t="shared" si="11"/>
        <v>72000</v>
      </c>
      <c r="H70" s="30">
        <f t="shared" si="11"/>
        <v>81463.06</v>
      </c>
      <c r="I70" s="30">
        <f t="shared" si="11"/>
        <v>92741.059599999993</v>
      </c>
      <c r="J70" s="30">
        <f t="shared" si="11"/>
        <v>103540.17038399998</v>
      </c>
    </row>
    <row r="71" spans="1:10" ht="20" customHeight="1" x14ac:dyDescent="0.2">
      <c r="A71" s="13" t="s">
        <v>65</v>
      </c>
      <c r="B71" s="17">
        <f>B24</f>
        <v>46500</v>
      </c>
      <c r="C71" s="17">
        <f t="shared" ref="C71:J71" si="12">C24</f>
        <v>82000</v>
      </c>
      <c r="D71" s="17">
        <f t="shared" si="12"/>
        <v>173000</v>
      </c>
      <c r="E71" s="17">
        <f t="shared" si="12"/>
        <v>268000</v>
      </c>
      <c r="F71" s="17">
        <f t="shared" si="12"/>
        <v>360000</v>
      </c>
      <c r="G71" s="49">
        <f t="shared" si="12"/>
        <v>455000</v>
      </c>
      <c r="H71" s="30">
        <f t="shared" si="12"/>
        <v>712801.77499999991</v>
      </c>
      <c r="I71" s="30">
        <f t="shared" si="12"/>
        <v>805382.88599999994</v>
      </c>
      <c r="J71" s="30">
        <f t="shared" si="12"/>
        <v>891595.91163999983</v>
      </c>
    </row>
    <row r="72" spans="1:10" ht="20" customHeight="1" x14ac:dyDescent="0.2">
      <c r="A72" s="13" t="s">
        <v>66</v>
      </c>
      <c r="B72" s="17">
        <f>B32</f>
        <v>23000</v>
      </c>
      <c r="C72" s="17">
        <f t="shared" ref="C72:J72" si="13">C32</f>
        <v>42000</v>
      </c>
      <c r="D72" s="17">
        <f t="shared" si="13"/>
        <v>87000</v>
      </c>
      <c r="E72" s="17">
        <f t="shared" si="13"/>
        <v>118000</v>
      </c>
      <c r="F72" s="17">
        <f t="shared" si="13"/>
        <v>148000</v>
      </c>
      <c r="G72" s="49">
        <f t="shared" si="13"/>
        <v>188000</v>
      </c>
      <c r="H72" s="30">
        <f t="shared" si="13"/>
        <v>260681.79200000002</v>
      </c>
      <c r="I72" s="30">
        <f t="shared" si="13"/>
        <v>302628.72079999995</v>
      </c>
      <c r="J72" s="30">
        <f t="shared" si="13"/>
        <v>333629.43790399999</v>
      </c>
    </row>
    <row r="73" spans="1:10" ht="20" customHeight="1" x14ac:dyDescent="0.2">
      <c r="A73" s="13" t="s">
        <v>67</v>
      </c>
      <c r="B73" s="17">
        <f>B41</f>
        <v>13500</v>
      </c>
      <c r="C73" s="17">
        <f t="shared" ref="C73:J73" si="14">C41</f>
        <v>22000</v>
      </c>
      <c r="D73" s="17">
        <f t="shared" si="14"/>
        <v>46000</v>
      </c>
      <c r="E73" s="17">
        <f t="shared" si="14"/>
        <v>59000</v>
      </c>
      <c r="F73" s="17">
        <f t="shared" si="14"/>
        <v>72000</v>
      </c>
      <c r="G73" s="49">
        <f t="shared" si="14"/>
        <v>90000</v>
      </c>
      <c r="H73" s="30">
        <f t="shared" si="14"/>
        <v>120158.0135</v>
      </c>
      <c r="I73" s="30">
        <f t="shared" si="14"/>
        <v>136671.03519999998</v>
      </c>
      <c r="J73" s="30">
        <f t="shared" si="14"/>
        <v>149558.02388799997</v>
      </c>
    </row>
    <row r="74" spans="1:10" ht="20" customHeight="1" x14ac:dyDescent="0.2">
      <c r="A74" s="13" t="s">
        <v>20</v>
      </c>
      <c r="B74" s="17">
        <f>B14</f>
        <v>2300</v>
      </c>
      <c r="C74" s="17">
        <f t="shared" ref="C74:J74" si="15">C14</f>
        <v>2800</v>
      </c>
      <c r="D74" s="17">
        <f t="shared" si="15"/>
        <v>4700</v>
      </c>
      <c r="E74" s="17">
        <f t="shared" si="15"/>
        <v>5400</v>
      </c>
      <c r="F74" s="17">
        <f t="shared" si="15"/>
        <v>5800</v>
      </c>
      <c r="G74" s="49">
        <f t="shared" si="15"/>
        <v>6000</v>
      </c>
      <c r="H74" s="30">
        <f t="shared" si="15"/>
        <v>6600.0000000000009</v>
      </c>
      <c r="I74" s="30">
        <f t="shared" si="15"/>
        <v>6930.0000000000009</v>
      </c>
      <c r="J74" s="30">
        <f t="shared" si="15"/>
        <v>6930.0000000000009</v>
      </c>
    </row>
    <row r="75" spans="1:10" ht="20" customHeight="1" x14ac:dyDescent="0.2">
      <c r="A75" s="13" t="s">
        <v>68</v>
      </c>
      <c r="B75" s="17">
        <f>B25+B33+B42</f>
        <v>7000</v>
      </c>
      <c r="C75" s="17">
        <f t="shared" ref="C75:J75" si="16">C25+C33+C42</f>
        <v>14000</v>
      </c>
      <c r="D75" s="17">
        <f t="shared" si="16"/>
        <v>14000</v>
      </c>
      <c r="E75" s="17">
        <f t="shared" si="16"/>
        <v>18000</v>
      </c>
      <c r="F75" s="17">
        <f t="shared" si="16"/>
        <v>26000</v>
      </c>
      <c r="G75" s="49">
        <f t="shared" si="16"/>
        <v>35000</v>
      </c>
      <c r="H75" s="30">
        <f t="shared" si="16"/>
        <v>51908.261831999997</v>
      </c>
      <c r="I75" s="30">
        <f t="shared" si="16"/>
        <v>59129.747157599995</v>
      </c>
      <c r="J75" s="30">
        <f t="shared" si="16"/>
        <v>65287.829658799987</v>
      </c>
    </row>
    <row r="76" spans="1:10" ht="20" customHeight="1" x14ac:dyDescent="0.2">
      <c r="A76" s="71" t="s">
        <v>69</v>
      </c>
      <c r="B76" s="101">
        <f>B50+B69+B74+B75</f>
        <v>98911</v>
      </c>
      <c r="C76" s="101">
        <f t="shared" ref="C76:J76" si="17">C50+C69+C74+C75</f>
        <v>169514</v>
      </c>
      <c r="D76" s="101">
        <f t="shared" si="17"/>
        <v>511780</v>
      </c>
      <c r="E76" s="101">
        <f t="shared" si="17"/>
        <v>668812</v>
      </c>
      <c r="F76" s="101">
        <f t="shared" si="17"/>
        <v>910694</v>
      </c>
      <c r="G76" s="102">
        <f t="shared" si="17"/>
        <v>1225700</v>
      </c>
      <c r="H76" s="103">
        <f t="shared" si="17"/>
        <v>860877.85250000027</v>
      </c>
      <c r="I76" s="103">
        <f t="shared" si="17"/>
        <v>1254589.4099999992</v>
      </c>
      <c r="J76" s="103">
        <f t="shared" si="17"/>
        <v>1711739.0350879997</v>
      </c>
    </row>
    <row r="77" spans="1:10" ht="8" customHeight="1" x14ac:dyDescent="0.2">
      <c r="G77" s="41"/>
      <c r="H77" s="32"/>
      <c r="I77" s="32"/>
      <c r="J77" s="32"/>
    </row>
    <row r="78" spans="1:10" ht="22" customHeight="1" x14ac:dyDescent="0.2">
      <c r="A78" s="25" t="s">
        <v>70</v>
      </c>
      <c r="B78" s="26"/>
      <c r="C78" s="26"/>
      <c r="D78" s="26"/>
      <c r="E78" s="26"/>
      <c r="F78" s="26"/>
      <c r="G78" s="38"/>
      <c r="H78" s="26"/>
      <c r="I78" s="26"/>
      <c r="J78" s="26"/>
    </row>
    <row r="79" spans="1:10" ht="20" customHeight="1" x14ac:dyDescent="0.2">
      <c r="A79" s="13" t="s">
        <v>71</v>
      </c>
      <c r="B79" s="18">
        <f>IF(B7=0,0,B18/B7)</f>
        <v>0.73302113941934588</v>
      </c>
      <c r="C79" s="18">
        <f t="shared" ref="C79:J79" si="18">IF(C7=0,0,C18/C7)</f>
        <v>0.74406896667845301</v>
      </c>
      <c r="D79" s="18">
        <f t="shared" si="18"/>
        <v>0.76836650627440206</v>
      </c>
      <c r="E79" s="18">
        <f t="shared" si="18"/>
        <v>0.77401183031624254</v>
      </c>
      <c r="F79" s="18">
        <f t="shared" si="18"/>
        <v>0.79115831511028822</v>
      </c>
      <c r="G79" s="50">
        <f t="shared" si="18"/>
        <v>0.80202497665732964</v>
      </c>
      <c r="H79" s="37">
        <f t="shared" si="18"/>
        <v>0.79841760989582278</v>
      </c>
      <c r="I79" s="37">
        <f t="shared" si="18"/>
        <v>0.81289010364940872</v>
      </c>
      <c r="J79" s="37">
        <f t="shared" si="18"/>
        <v>0.82178986042955782</v>
      </c>
    </row>
    <row r="80" spans="1:10" ht="20" customHeight="1" x14ac:dyDescent="0.2">
      <c r="A80" s="13" t="s">
        <v>72</v>
      </c>
      <c r="B80" s="18">
        <f>IF(B7=0,0,B28/B7)</f>
        <v>0.30511869780646189</v>
      </c>
      <c r="C80" s="18">
        <f t="shared" ref="C80:J80" si="19">IF(C7=0,0,C28/C7)</f>
        <v>0.31654627805559765</v>
      </c>
      <c r="D80" s="18">
        <f t="shared" si="19"/>
        <v>0.29372082194070659</v>
      </c>
      <c r="E80" s="18">
        <f t="shared" si="19"/>
        <v>0.31995414460423882</v>
      </c>
      <c r="F80" s="18">
        <f t="shared" si="19"/>
        <v>0.33341653224454521</v>
      </c>
      <c r="G80" s="50">
        <f t="shared" si="19"/>
        <v>0.33117413632119513</v>
      </c>
      <c r="H80" s="37">
        <f t="shared" si="19"/>
        <v>0.44038381091994327</v>
      </c>
      <c r="I80" s="37">
        <f t="shared" si="19"/>
        <v>0.42054024872383494</v>
      </c>
      <c r="J80" s="37">
        <f t="shared" si="19"/>
        <v>0.39723636096769127</v>
      </c>
    </row>
    <row r="81" spans="1:10" ht="20" customHeight="1" x14ac:dyDescent="0.2">
      <c r="A81" s="13" t="s">
        <v>73</v>
      </c>
      <c r="B81" s="18">
        <f>IF(B7=0,0,B37/B7)</f>
        <v>0.32667599710800538</v>
      </c>
      <c r="C81" s="18">
        <f t="shared" ref="C81:J81" si="20">IF(C7=0,0,C37/C7)</f>
        <v>0.33450635056939043</v>
      </c>
      <c r="D81" s="18">
        <f t="shared" si="20"/>
        <v>0.29431781548123648</v>
      </c>
      <c r="E81" s="18">
        <f t="shared" si="20"/>
        <v>0.29364367162650407</v>
      </c>
      <c r="F81" s="18">
        <f t="shared" si="20"/>
        <v>0.28498731527047716</v>
      </c>
      <c r="G81" s="50">
        <f t="shared" si="20"/>
        <v>0.28040382819794585</v>
      </c>
      <c r="H81" s="37">
        <f t="shared" si="20"/>
        <v>0.35639200000000004</v>
      </c>
      <c r="I81" s="37">
        <f t="shared" si="20"/>
        <v>0.33628599999999997</v>
      </c>
      <c r="J81" s="37">
        <f t="shared" si="20"/>
        <v>0.31607399999999997</v>
      </c>
    </row>
    <row r="82" spans="1:10" ht="20" customHeight="1" x14ac:dyDescent="0.2">
      <c r="A82" s="13" t="s">
        <v>74</v>
      </c>
      <c r="B82" s="18">
        <f>IF(B7=0,0,B45/B7)</f>
        <v>0.10446998892286467</v>
      </c>
      <c r="C82" s="18">
        <f t="shared" ref="C82:J82" si="21">IF(C7=0,0,C45/C7)</f>
        <v>0.10327041695430846</v>
      </c>
      <c r="D82" s="18">
        <f t="shared" si="21"/>
        <v>8.8952037538953824E-2</v>
      </c>
      <c r="E82" s="18">
        <f t="shared" si="21"/>
        <v>8.6918526801445198E-2</v>
      </c>
      <c r="F82" s="18">
        <f t="shared" si="21"/>
        <v>8.2329668855915625E-2</v>
      </c>
      <c r="G82" s="50">
        <f t="shared" si="21"/>
        <v>7.9656862745098034E-2</v>
      </c>
      <c r="H82" s="37">
        <f t="shared" si="21"/>
        <v>9.3152000000000013E-2</v>
      </c>
      <c r="I82" s="37">
        <f t="shared" si="21"/>
        <v>8.6567999999999992E-2</v>
      </c>
      <c r="J82" s="37">
        <f t="shared" si="21"/>
        <v>8.0456E-2</v>
      </c>
    </row>
    <row r="83" spans="1:10" ht="20" customHeight="1" x14ac:dyDescent="0.2">
      <c r="A83" s="13" t="s">
        <v>75</v>
      </c>
      <c r="B83" s="18">
        <f>IF(B7=0,0,B50/B7)</f>
        <v>-3.2435444179860838E-3</v>
      </c>
      <c r="C83" s="18">
        <f t="shared" ref="C83:J83" si="22">IF(C7=0,0,C50/C7)</f>
        <v>-1.0254078900843563E-2</v>
      </c>
      <c r="D83" s="18">
        <f t="shared" si="22"/>
        <v>9.1375831313505185E-2</v>
      </c>
      <c r="E83" s="18">
        <f t="shared" si="22"/>
        <v>7.3495487284054445E-2</v>
      </c>
      <c r="F83" s="18">
        <f t="shared" si="22"/>
        <v>9.0424798739350234E-2</v>
      </c>
      <c r="G83" s="50">
        <f t="shared" si="22"/>
        <v>0.11079014939309056</v>
      </c>
      <c r="H83" s="37">
        <f t="shared" si="22"/>
        <v>-9.1510201024120497E-2</v>
      </c>
      <c r="I83" s="37">
        <f t="shared" si="22"/>
        <v>-3.0504145074426302E-2</v>
      </c>
      <c r="J83" s="37">
        <f t="shared" si="22"/>
        <v>2.802349946186658E-2</v>
      </c>
    </row>
    <row r="84" spans="1:10" ht="20" customHeight="1" x14ac:dyDescent="0.2">
      <c r="A84" s="13" t="s">
        <v>76</v>
      </c>
      <c r="B84" s="18">
        <f>IF(B7=0,0,B76/B7)</f>
        <v>0.16401954086268997</v>
      </c>
      <c r="C84" s="18">
        <f t="shared" ref="C84:J84" si="23">IF(C7=0,0,C76/C7)</f>
        <v>0.19028023325644178</v>
      </c>
      <c r="D84" s="18">
        <f t="shared" si="23"/>
        <v>0.30552935417238786</v>
      </c>
      <c r="E84" s="18">
        <f t="shared" si="23"/>
        <v>0.31422785809258469</v>
      </c>
      <c r="F84" s="18">
        <f t="shared" si="23"/>
        <v>0.33926305633062998</v>
      </c>
      <c r="G84" s="50">
        <f t="shared" si="23"/>
        <v>0.3576388888888889</v>
      </c>
      <c r="H84" s="37">
        <f t="shared" si="23"/>
        <v>0.21135416531124665</v>
      </c>
      <c r="I84" s="37">
        <f t="shared" si="23"/>
        <v>0.25702961442118338</v>
      </c>
      <c r="J84" s="37">
        <f t="shared" si="23"/>
        <v>0.29757824926609594</v>
      </c>
    </row>
    <row r="85" spans="1:10" ht="20" customHeight="1" x14ac:dyDescent="0.2">
      <c r="A85" s="13" t="s">
        <v>77</v>
      </c>
      <c r="B85" s="18">
        <f>IF(B7=0,0,B60/B7)</f>
        <v>-1.5348797102698973E-2</v>
      </c>
      <c r="C85" s="18">
        <f t="shared" ref="C85:J85" si="24">IF(C7=0,0,C60/C7)</f>
        <v>-2.5632390990778624E-2</v>
      </c>
      <c r="D85" s="18">
        <f t="shared" si="24"/>
        <v>7.848077083805953E-2</v>
      </c>
      <c r="E85" s="18">
        <f t="shared" si="24"/>
        <v>0.10534995278209761</v>
      </c>
      <c r="F85" s="18">
        <f t="shared" si="24"/>
        <v>0.1494339369600608</v>
      </c>
      <c r="G85" s="50">
        <f t="shared" si="24"/>
        <v>0.1545576563958917</v>
      </c>
      <c r="H85" s="37">
        <f t="shared" si="24"/>
        <v>-4.8159656128488049E-2</v>
      </c>
      <c r="I85" s="37">
        <f t="shared" si="24"/>
        <v>2.0867808565479162E-3</v>
      </c>
      <c r="J85" s="37">
        <f t="shared" si="24"/>
        <v>5.0011175538057347E-2</v>
      </c>
    </row>
    <row r="86" spans="1:10" ht="20" customHeight="1" x14ac:dyDescent="0.2">
      <c r="A86" s="13" t="s">
        <v>78</v>
      </c>
      <c r="B86" s="18" t="s">
        <v>79</v>
      </c>
      <c r="C86" s="18">
        <f>IF(B7=0,0,C7/B7-1)</f>
        <v>0.47728026478996566</v>
      </c>
      <c r="D86" s="18">
        <f t="shared" ref="D86:J86" si="25">IF(C7=0,0,D7/C7-1)</f>
        <v>0.88026244155960787</v>
      </c>
      <c r="E86" s="18">
        <f t="shared" si="25"/>
        <v>0.27065896147003699</v>
      </c>
      <c r="F86" s="18">
        <f t="shared" si="25"/>
        <v>0.26117842729147767</v>
      </c>
      <c r="G86" s="50">
        <f t="shared" si="25"/>
        <v>0.27674317241173774</v>
      </c>
      <c r="H86" s="37">
        <f t="shared" si="25"/>
        <v>0.18847834967320254</v>
      </c>
      <c r="I86" s="37">
        <f t="shared" si="25"/>
        <v>0.19836117130881159</v>
      </c>
      <c r="J86" s="37">
        <f t="shared" si="25"/>
        <v>0.17846833477412627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FCF2-444C-4240-8F41-4CBB8AFE14AB}">
  <dimension ref="A1:J52"/>
  <sheetViews>
    <sheetView zoomScale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56" sqref="I56"/>
    </sheetView>
  </sheetViews>
  <sheetFormatPr baseColWidth="10" defaultRowHeight="16" x14ac:dyDescent="0.2"/>
  <cols>
    <col min="1" max="1" width="51.6640625" customWidth="1"/>
    <col min="2" max="10" width="17.5" customWidth="1"/>
  </cols>
  <sheetData>
    <row r="1" spans="1:10" ht="28" customHeight="1" x14ac:dyDescent="0.25">
      <c r="A1" s="2" t="s">
        <v>80</v>
      </c>
    </row>
    <row r="2" spans="1:10" ht="18" customHeight="1" x14ac:dyDescent="0.2">
      <c r="A2" s="4" t="s">
        <v>81</v>
      </c>
    </row>
    <row r="3" spans="1:10" ht="24" customHeight="1" thickBot="1" x14ac:dyDescent="0.25">
      <c r="A3" s="51" t="s">
        <v>208</v>
      </c>
      <c r="B3" s="52" t="s">
        <v>2</v>
      </c>
      <c r="C3" s="52" t="s">
        <v>3</v>
      </c>
      <c r="D3" s="52" t="s">
        <v>4</v>
      </c>
      <c r="E3" s="52" t="s">
        <v>5</v>
      </c>
      <c r="F3" s="52" t="s">
        <v>6</v>
      </c>
      <c r="G3" s="53" t="s">
        <v>7</v>
      </c>
      <c r="H3" s="52" t="s">
        <v>8</v>
      </c>
      <c r="I3" s="52" t="s">
        <v>9</v>
      </c>
      <c r="J3" s="52" t="s">
        <v>10</v>
      </c>
    </row>
    <row r="4" spans="1:10" x14ac:dyDescent="0.2">
      <c r="A4" s="24" t="s">
        <v>82</v>
      </c>
      <c r="B4" s="26"/>
      <c r="C4" s="26"/>
      <c r="D4" s="26"/>
      <c r="E4" s="26"/>
      <c r="F4" s="26"/>
      <c r="G4" s="38"/>
      <c r="H4" s="26"/>
      <c r="I4" s="26"/>
      <c r="J4" s="26"/>
    </row>
    <row r="5" spans="1:10" x14ac:dyDescent="0.2">
      <c r="A5" s="13" t="s">
        <v>83</v>
      </c>
      <c r="B5" s="14">
        <v>276600</v>
      </c>
      <c r="C5" s="14">
        <v>307700</v>
      </c>
      <c r="D5" s="14">
        <v>468500</v>
      </c>
      <c r="E5" s="14">
        <v>373100</v>
      </c>
      <c r="F5" s="14">
        <v>1228900</v>
      </c>
      <c r="G5" s="39">
        <v>780000</v>
      </c>
      <c r="H5" s="30">
        <f>'Cash Flow'!H48</f>
        <v>1717020.880524294</v>
      </c>
      <c r="I5" s="30">
        <f>'Cash Flow'!I48</f>
        <v>2890251.9244072177</v>
      </c>
      <c r="J5" s="30">
        <f>'Cash Flow'!J48</f>
        <v>4431383.8930869773</v>
      </c>
    </row>
    <row r="6" spans="1:10" x14ac:dyDescent="0.2">
      <c r="A6" s="13" t="s">
        <v>84</v>
      </c>
      <c r="B6" s="14">
        <v>780000</v>
      </c>
      <c r="C6" s="14">
        <v>1220000</v>
      </c>
      <c r="D6" s="14">
        <v>1318000</v>
      </c>
      <c r="E6" s="14">
        <v>2299000</v>
      </c>
      <c r="F6" s="14">
        <v>2937000</v>
      </c>
      <c r="G6" s="39">
        <v>3200000</v>
      </c>
      <c r="H6" s="30">
        <f>G6+200000</f>
        <v>3400000</v>
      </c>
      <c r="I6" s="30">
        <f>H6+200000</f>
        <v>3600000</v>
      </c>
      <c r="J6" s="30">
        <f>I6+200000</f>
        <v>3800000</v>
      </c>
    </row>
    <row r="7" spans="1:10" x14ac:dyDescent="0.2">
      <c r="A7" s="13" t="s">
        <v>85</v>
      </c>
      <c r="B7" s="14">
        <v>90600</v>
      </c>
      <c r="C7" s="14">
        <v>155700</v>
      </c>
      <c r="D7" s="14">
        <v>292600</v>
      </c>
      <c r="E7" s="14">
        <v>408000</v>
      </c>
      <c r="F7" s="14">
        <v>519000</v>
      </c>
      <c r="G7" s="39">
        <v>665000</v>
      </c>
      <c r="H7" s="30">
        <f>'Income Statement'!H7*70/365</f>
        <v>781152.63013698626</v>
      </c>
      <c r="I7" s="30">
        <f>'Income Statement'!I7*70/365</f>
        <v>936102.98082191765</v>
      </c>
      <c r="J7" s="30">
        <f>'Income Statement'!J7*70/365</f>
        <v>1103167.7209863013</v>
      </c>
    </row>
    <row r="8" spans="1:10" x14ac:dyDescent="0.2">
      <c r="A8" s="13" t="s">
        <v>86</v>
      </c>
      <c r="B8" s="14">
        <v>29000</v>
      </c>
      <c r="C8" s="14">
        <v>44000</v>
      </c>
      <c r="D8" s="14">
        <v>67000</v>
      </c>
      <c r="E8" s="14">
        <v>81000</v>
      </c>
      <c r="F8" s="14">
        <v>95000</v>
      </c>
      <c r="G8" s="39">
        <v>118000</v>
      </c>
      <c r="H8" s="30">
        <f>'Income Statement'!H7*0.034</f>
        <v>138487.20200000002</v>
      </c>
      <c r="I8" s="30">
        <f>'Income Statement'!I7*0.034</f>
        <v>165957.6856</v>
      </c>
      <c r="J8" s="30">
        <f>'Income Statement'!J7*0.034</f>
        <v>195575.87739199999</v>
      </c>
    </row>
    <row r="9" spans="1:10" x14ac:dyDescent="0.2">
      <c r="A9" s="13" t="s">
        <v>87</v>
      </c>
      <c r="B9" s="14">
        <v>24800</v>
      </c>
      <c r="C9" s="14">
        <v>36600</v>
      </c>
      <c r="D9" s="14">
        <v>58900</v>
      </c>
      <c r="E9" s="14">
        <v>76000</v>
      </c>
      <c r="F9" s="14">
        <v>88000</v>
      </c>
      <c r="G9" s="39">
        <v>110000</v>
      </c>
      <c r="H9" s="30">
        <f>'Income Statement'!H7*0.025</f>
        <v>101828.82500000001</v>
      </c>
      <c r="I9" s="30">
        <f>'Income Statement'!I7*0.025</f>
        <v>122027.70999999999</v>
      </c>
      <c r="J9" s="30">
        <f>'Income Statement'!J7*0.025</f>
        <v>143805.7922</v>
      </c>
    </row>
    <row r="10" spans="1:10" x14ac:dyDescent="0.2">
      <c r="A10" s="19" t="s">
        <v>88</v>
      </c>
      <c r="B10" s="22">
        <f>SUM(B5:B9)</f>
        <v>1201000</v>
      </c>
      <c r="C10" s="22">
        <f t="shared" ref="C10:J10" si="0">SUM(C5:C9)</f>
        <v>1764000</v>
      </c>
      <c r="D10" s="22">
        <f t="shared" si="0"/>
        <v>2205000</v>
      </c>
      <c r="E10" s="22">
        <f t="shared" si="0"/>
        <v>3237100</v>
      </c>
      <c r="F10" s="22">
        <f t="shared" si="0"/>
        <v>4867900</v>
      </c>
      <c r="G10" s="42">
        <f t="shared" si="0"/>
        <v>4873000</v>
      </c>
      <c r="H10" s="33">
        <f t="shared" si="0"/>
        <v>6138489.5376612805</v>
      </c>
      <c r="I10" s="33">
        <f t="shared" si="0"/>
        <v>7714340.3008291358</v>
      </c>
      <c r="J10" s="33">
        <f t="shared" si="0"/>
        <v>9673933.2836652771</v>
      </c>
    </row>
    <row r="11" spans="1:10" ht="8" customHeight="1" x14ac:dyDescent="0.2">
      <c r="G11" s="41"/>
      <c r="H11" s="32"/>
      <c r="I11" s="32"/>
      <c r="J11" s="32"/>
    </row>
    <row r="12" spans="1:10" x14ac:dyDescent="0.2">
      <c r="A12" s="24" t="s">
        <v>89</v>
      </c>
      <c r="B12" s="26"/>
      <c r="C12" s="26"/>
      <c r="D12" s="26"/>
      <c r="E12" s="26"/>
      <c r="F12" s="26"/>
      <c r="G12" s="38"/>
      <c r="H12" s="26"/>
      <c r="I12" s="26"/>
      <c r="J12" s="26"/>
    </row>
    <row r="13" spans="1:10" x14ac:dyDescent="0.2">
      <c r="A13" s="13" t="s">
        <v>90</v>
      </c>
      <c r="B13" s="14">
        <v>160000</v>
      </c>
      <c r="C13" s="14">
        <v>290000</v>
      </c>
      <c r="D13" s="14">
        <v>215000</v>
      </c>
      <c r="E13" s="14">
        <v>0</v>
      </c>
      <c r="F13" s="14">
        <v>0</v>
      </c>
      <c r="G13" s="39">
        <v>0</v>
      </c>
      <c r="H13" s="30">
        <v>0</v>
      </c>
      <c r="I13" s="30">
        <v>0</v>
      </c>
      <c r="J13" s="30">
        <v>0</v>
      </c>
    </row>
    <row r="14" spans="1:10" x14ac:dyDescent="0.2">
      <c r="A14" s="13" t="s">
        <v>91</v>
      </c>
      <c r="B14" s="14">
        <v>30000</v>
      </c>
      <c r="C14" s="14">
        <v>54000</v>
      </c>
      <c r="D14" s="14">
        <v>76000</v>
      </c>
      <c r="E14" s="14">
        <v>97000</v>
      </c>
      <c r="F14" s="14">
        <v>120000</v>
      </c>
      <c r="G14" s="39">
        <v>150000</v>
      </c>
      <c r="H14" s="30">
        <f>G14*1.18</f>
        <v>177000</v>
      </c>
      <c r="I14" s="30">
        <f>H14*1.15</f>
        <v>203549.99999999997</v>
      </c>
      <c r="J14" s="30">
        <f>I14*1.12</f>
        <v>227976</v>
      </c>
    </row>
    <row r="15" spans="1:10" x14ac:dyDescent="0.2">
      <c r="A15" s="13" t="s">
        <v>92</v>
      </c>
      <c r="B15" s="14">
        <v>98000</v>
      </c>
      <c r="C15" s="14">
        <v>117000</v>
      </c>
      <c r="D15" s="14">
        <v>126000</v>
      </c>
      <c r="E15" s="14">
        <v>130000</v>
      </c>
      <c r="F15" s="14">
        <v>128000</v>
      </c>
      <c r="G15" s="39">
        <v>135000</v>
      </c>
      <c r="H15" s="30">
        <f>G15*1.03</f>
        <v>139050</v>
      </c>
      <c r="I15" s="30">
        <f>H15*1.02</f>
        <v>141831</v>
      </c>
      <c r="J15" s="30">
        <f>I15*1.02</f>
        <v>144667.62</v>
      </c>
    </row>
    <row r="16" spans="1:10" x14ac:dyDescent="0.2">
      <c r="A16" s="13" t="s">
        <v>93</v>
      </c>
      <c r="B16" s="14">
        <v>22300</v>
      </c>
      <c r="C16" s="14">
        <v>22300</v>
      </c>
      <c r="D16" s="14">
        <v>59300</v>
      </c>
      <c r="E16" s="14">
        <v>61400</v>
      </c>
      <c r="F16" s="14">
        <v>71600</v>
      </c>
      <c r="G16" s="39">
        <v>150000</v>
      </c>
      <c r="H16" s="30">
        <f>G16*1.05</f>
        <v>157500</v>
      </c>
      <c r="I16" s="30">
        <f>H16*1.03</f>
        <v>162225</v>
      </c>
      <c r="J16" s="30">
        <f>I16*1.02</f>
        <v>165469.5</v>
      </c>
    </row>
    <row r="17" spans="1:10" x14ac:dyDescent="0.2">
      <c r="A17" s="13" t="s">
        <v>94</v>
      </c>
      <c r="B17" s="14">
        <v>11000</v>
      </c>
      <c r="C17" s="14">
        <v>8200</v>
      </c>
      <c r="D17" s="14">
        <v>15400</v>
      </c>
      <c r="E17" s="14">
        <v>10800</v>
      </c>
      <c r="F17" s="14">
        <v>8700</v>
      </c>
      <c r="G17" s="39">
        <v>45000</v>
      </c>
      <c r="H17" s="30">
        <f>G17*0.85</f>
        <v>38250</v>
      </c>
      <c r="I17" s="30">
        <f>H17*0.8</f>
        <v>30600</v>
      </c>
      <c r="J17" s="30">
        <f>I17*0.8</f>
        <v>24480</v>
      </c>
    </row>
    <row r="18" spans="1:10" x14ac:dyDescent="0.2">
      <c r="A18" s="13" t="s">
        <v>95</v>
      </c>
      <c r="B18" s="14">
        <v>43000</v>
      </c>
      <c r="C18" s="14">
        <v>68000</v>
      </c>
      <c r="D18" s="14">
        <v>100000</v>
      </c>
      <c r="E18" s="14">
        <v>118000</v>
      </c>
      <c r="F18" s="14">
        <v>137000</v>
      </c>
      <c r="G18" s="39">
        <v>170000</v>
      </c>
      <c r="H18" s="30">
        <f>'Income Statement'!H7*0.045</f>
        <v>183291.88499999998</v>
      </c>
      <c r="I18" s="30">
        <f>'Income Statement'!I7*0.045</f>
        <v>219649.87799999997</v>
      </c>
      <c r="J18" s="30">
        <f>'Income Statement'!J7*0.045</f>
        <v>258850.42595999996</v>
      </c>
    </row>
    <row r="19" spans="1:10" x14ac:dyDescent="0.2">
      <c r="A19" s="13" t="s">
        <v>96</v>
      </c>
      <c r="B19" s="14">
        <v>15000</v>
      </c>
      <c r="C19" s="14">
        <v>30000</v>
      </c>
      <c r="D19" s="14">
        <v>52000</v>
      </c>
      <c r="E19" s="14">
        <v>64000</v>
      </c>
      <c r="F19" s="14">
        <v>70000</v>
      </c>
      <c r="G19" s="39">
        <v>90000</v>
      </c>
      <c r="H19" s="30">
        <f>G19*1.15</f>
        <v>103499.99999999999</v>
      </c>
      <c r="I19" s="30">
        <f>H19*1.12</f>
        <v>115920</v>
      </c>
      <c r="J19" s="30">
        <f>I19*1.1</f>
        <v>127512.00000000001</v>
      </c>
    </row>
    <row r="20" spans="1:10" x14ac:dyDescent="0.2">
      <c r="A20" s="13" t="s">
        <v>97</v>
      </c>
      <c r="B20" s="14">
        <v>0</v>
      </c>
      <c r="C20" s="14">
        <v>0</v>
      </c>
      <c r="D20" s="14">
        <v>3500</v>
      </c>
      <c r="E20" s="14">
        <v>5000</v>
      </c>
      <c r="F20" s="14">
        <v>45000</v>
      </c>
      <c r="G20" s="39">
        <v>50000</v>
      </c>
      <c r="H20" s="30">
        <f>G20*1.05</f>
        <v>52500</v>
      </c>
      <c r="I20" s="30">
        <f>H20*1.05</f>
        <v>55125</v>
      </c>
      <c r="J20" s="30">
        <f>I20*1.05</f>
        <v>57881.25</v>
      </c>
    </row>
    <row r="21" spans="1:10" x14ac:dyDescent="0.2">
      <c r="A21" s="13" t="s">
        <v>98</v>
      </c>
      <c r="B21" s="14">
        <v>5100</v>
      </c>
      <c r="C21" s="14">
        <v>6800</v>
      </c>
      <c r="D21" s="14">
        <v>12200</v>
      </c>
      <c r="E21" s="14">
        <v>18800</v>
      </c>
      <c r="F21" s="14">
        <v>22700</v>
      </c>
      <c r="G21" s="39">
        <v>28000</v>
      </c>
      <c r="H21" s="30">
        <f>G21*1.1</f>
        <v>30800.000000000004</v>
      </c>
      <c r="I21" s="30">
        <f>H21*1.08</f>
        <v>33264.000000000007</v>
      </c>
      <c r="J21" s="30">
        <f>I21*1.06</f>
        <v>35259.840000000011</v>
      </c>
    </row>
    <row r="22" spans="1:10" x14ac:dyDescent="0.2">
      <c r="A22" s="19" t="s">
        <v>99</v>
      </c>
      <c r="B22" s="22">
        <f>SUM(B13:B21)</f>
        <v>384400</v>
      </c>
      <c r="C22" s="22">
        <f t="shared" ref="C22:J22" si="1">SUM(C13:C21)</f>
        <v>596300</v>
      </c>
      <c r="D22" s="22">
        <f t="shared" si="1"/>
        <v>659400</v>
      </c>
      <c r="E22" s="22">
        <f t="shared" si="1"/>
        <v>505000</v>
      </c>
      <c r="F22" s="22">
        <f t="shared" si="1"/>
        <v>603000</v>
      </c>
      <c r="G22" s="42">
        <f t="shared" si="1"/>
        <v>818000</v>
      </c>
      <c r="H22" s="33">
        <f t="shared" si="1"/>
        <v>881891.88500000001</v>
      </c>
      <c r="I22" s="33">
        <f t="shared" si="1"/>
        <v>962164.87800000003</v>
      </c>
      <c r="J22" s="33">
        <f t="shared" si="1"/>
        <v>1042096.63596</v>
      </c>
    </row>
    <row r="23" spans="1:10" ht="8" customHeight="1" x14ac:dyDescent="0.2">
      <c r="G23" s="41"/>
      <c r="H23" s="32"/>
      <c r="I23" s="32"/>
      <c r="J23" s="32"/>
    </row>
    <row r="24" spans="1:10" ht="17" thickBot="1" x14ac:dyDescent="0.25">
      <c r="A24" s="71" t="s">
        <v>100</v>
      </c>
      <c r="B24" s="73">
        <f>B10+B22</f>
        <v>1585400</v>
      </c>
      <c r="C24" s="73">
        <f t="shared" ref="C24:J24" si="2">C10+C22</f>
        <v>2360300</v>
      </c>
      <c r="D24" s="73">
        <f t="shared" si="2"/>
        <v>2864400</v>
      </c>
      <c r="E24" s="73">
        <f t="shared" si="2"/>
        <v>3742100</v>
      </c>
      <c r="F24" s="73">
        <f t="shared" si="2"/>
        <v>5470900</v>
      </c>
      <c r="G24" s="74">
        <f t="shared" si="2"/>
        <v>5691000</v>
      </c>
      <c r="H24" s="104">
        <f t="shared" si="2"/>
        <v>7020381.4226612803</v>
      </c>
      <c r="I24" s="104">
        <f t="shared" si="2"/>
        <v>8676505.1788291354</v>
      </c>
      <c r="J24" s="104">
        <f t="shared" si="2"/>
        <v>10716029.919625277</v>
      </c>
    </row>
    <row r="25" spans="1:10" ht="8" customHeight="1" thickTop="1" x14ac:dyDescent="0.2">
      <c r="G25" s="41"/>
      <c r="H25" s="32"/>
      <c r="I25" s="32"/>
      <c r="J25" s="32"/>
    </row>
    <row r="26" spans="1:10" x14ac:dyDescent="0.2">
      <c r="A26" s="24" t="s">
        <v>101</v>
      </c>
      <c r="B26" s="26"/>
      <c r="C26" s="26"/>
      <c r="D26" s="26"/>
      <c r="E26" s="26"/>
      <c r="F26" s="26"/>
      <c r="G26" s="38"/>
      <c r="H26" s="26"/>
      <c r="I26" s="26"/>
      <c r="J26" s="26"/>
    </row>
    <row r="27" spans="1:10" x14ac:dyDescent="0.2">
      <c r="A27" s="13" t="s">
        <v>102</v>
      </c>
      <c r="B27" s="14">
        <v>8500</v>
      </c>
      <c r="C27" s="14">
        <v>18000</v>
      </c>
      <c r="D27" s="14">
        <v>28000</v>
      </c>
      <c r="E27" s="14">
        <v>22000</v>
      </c>
      <c r="F27" s="14">
        <v>36000</v>
      </c>
      <c r="G27" s="39">
        <v>42000</v>
      </c>
      <c r="H27" s="30">
        <f>'Income Statement'!H7*0.01</f>
        <v>40731.53</v>
      </c>
      <c r="I27" s="30">
        <f>'Income Statement'!I7*0.01</f>
        <v>48811.083999999995</v>
      </c>
      <c r="J27" s="30">
        <f>'Income Statement'!J7*0.01</f>
        <v>57522.316879999991</v>
      </c>
    </row>
    <row r="28" spans="1:10" x14ac:dyDescent="0.2">
      <c r="A28" s="13" t="s">
        <v>103</v>
      </c>
      <c r="B28" s="14">
        <v>78000</v>
      </c>
      <c r="C28" s="14">
        <v>121000</v>
      </c>
      <c r="D28" s="14">
        <v>168000</v>
      </c>
      <c r="E28" s="14">
        <v>213000</v>
      </c>
      <c r="F28" s="14">
        <v>252000</v>
      </c>
      <c r="G28" s="39">
        <v>310000</v>
      </c>
      <c r="H28" s="30">
        <f>'Income Statement'!H7*0.085</f>
        <v>346218.005</v>
      </c>
      <c r="I28" s="30">
        <f>'Income Statement'!I7*0.083</f>
        <v>405131.99719999998</v>
      </c>
      <c r="J28" s="30">
        <f>'Income Statement'!J7*0.081</f>
        <v>465930.76672799996</v>
      </c>
    </row>
    <row r="29" spans="1:10" x14ac:dyDescent="0.2">
      <c r="A29" s="13" t="s">
        <v>104</v>
      </c>
      <c r="B29" s="14">
        <v>17000</v>
      </c>
      <c r="C29" s="14">
        <v>22000</v>
      </c>
      <c r="D29" s="14">
        <v>28000</v>
      </c>
      <c r="E29" s="14">
        <v>33000</v>
      </c>
      <c r="F29" s="14">
        <v>35000</v>
      </c>
      <c r="G29" s="39">
        <v>38000</v>
      </c>
      <c r="H29" s="30">
        <f>G29*1.05</f>
        <v>39900</v>
      </c>
      <c r="I29" s="30">
        <f>H29*1.03</f>
        <v>41097</v>
      </c>
      <c r="J29" s="30">
        <f>I29*1.02</f>
        <v>41918.94</v>
      </c>
    </row>
    <row r="30" spans="1:10" x14ac:dyDescent="0.2">
      <c r="A30" s="13" t="s">
        <v>105</v>
      </c>
      <c r="B30" s="14">
        <v>141000</v>
      </c>
      <c r="C30" s="14">
        <v>216000</v>
      </c>
      <c r="D30" s="14">
        <v>311000</v>
      </c>
      <c r="E30" s="14">
        <v>400000</v>
      </c>
      <c r="F30" s="14">
        <v>488000</v>
      </c>
      <c r="G30" s="39">
        <v>620000</v>
      </c>
      <c r="H30" s="30">
        <f>'Income Statement'!H7*0.17</f>
        <v>692436.01</v>
      </c>
      <c r="I30" s="30">
        <f>'Income Statement'!I7*0.168</f>
        <v>820026.2111999999</v>
      </c>
      <c r="J30" s="30">
        <f>'Income Statement'!J7*0.166</f>
        <v>954870.46020799992</v>
      </c>
    </row>
    <row r="31" spans="1:10" x14ac:dyDescent="0.2">
      <c r="A31" s="13" t="s">
        <v>106</v>
      </c>
      <c r="B31" s="14">
        <v>0</v>
      </c>
      <c r="C31" s="14">
        <v>0</v>
      </c>
      <c r="D31" s="14">
        <v>0</v>
      </c>
      <c r="E31" s="14">
        <v>0</v>
      </c>
      <c r="F31" s="14">
        <v>739000</v>
      </c>
      <c r="G31" s="39">
        <v>0</v>
      </c>
      <c r="H31" s="30">
        <v>0</v>
      </c>
      <c r="I31" s="30">
        <v>0</v>
      </c>
      <c r="J31" s="30">
        <v>0</v>
      </c>
    </row>
    <row r="32" spans="1:10" x14ac:dyDescent="0.2">
      <c r="A32" s="19" t="s">
        <v>107</v>
      </c>
      <c r="B32" s="22">
        <f>SUM(B27:B31)</f>
        <v>244500</v>
      </c>
      <c r="C32" s="22">
        <f t="shared" ref="C32:J32" si="3">SUM(C27:C31)</f>
        <v>377000</v>
      </c>
      <c r="D32" s="22">
        <f t="shared" si="3"/>
        <v>535000</v>
      </c>
      <c r="E32" s="22">
        <f t="shared" si="3"/>
        <v>668000</v>
      </c>
      <c r="F32" s="22">
        <f t="shared" si="3"/>
        <v>1550000</v>
      </c>
      <c r="G32" s="42">
        <f t="shared" si="3"/>
        <v>1010000</v>
      </c>
      <c r="H32" s="33">
        <f t="shared" si="3"/>
        <v>1119285.5449999999</v>
      </c>
      <c r="I32" s="33">
        <f t="shared" si="3"/>
        <v>1315066.2923999999</v>
      </c>
      <c r="J32" s="33">
        <f t="shared" si="3"/>
        <v>1520242.4838159999</v>
      </c>
    </row>
    <row r="33" spans="1:10" ht="8" customHeight="1" x14ac:dyDescent="0.2">
      <c r="G33" s="41"/>
      <c r="H33" s="32"/>
      <c r="I33" s="32"/>
      <c r="J33" s="32"/>
    </row>
    <row r="34" spans="1:10" x14ac:dyDescent="0.2">
      <c r="A34" s="24" t="s">
        <v>108</v>
      </c>
      <c r="B34" s="26"/>
      <c r="C34" s="26"/>
      <c r="D34" s="26"/>
      <c r="E34" s="26"/>
      <c r="F34" s="26"/>
      <c r="G34" s="38"/>
      <c r="H34" s="26"/>
      <c r="I34" s="26"/>
      <c r="J34" s="26"/>
    </row>
    <row r="35" spans="1:10" x14ac:dyDescent="0.2">
      <c r="A35" s="13" t="s">
        <v>109</v>
      </c>
      <c r="B35" s="14">
        <v>88000</v>
      </c>
      <c r="C35" s="14">
        <v>103000</v>
      </c>
      <c r="D35" s="14">
        <v>110000</v>
      </c>
      <c r="E35" s="14">
        <v>108000</v>
      </c>
      <c r="F35" s="14">
        <v>102000</v>
      </c>
      <c r="G35" s="39">
        <v>105000</v>
      </c>
      <c r="H35" s="30">
        <f>G35*1.02</f>
        <v>107100</v>
      </c>
      <c r="I35" s="30">
        <f>H35*1.01</f>
        <v>108171</v>
      </c>
      <c r="J35" s="30">
        <f>I35*1</f>
        <v>108171</v>
      </c>
    </row>
    <row r="36" spans="1:10" x14ac:dyDescent="0.2">
      <c r="A36" s="13" t="s">
        <v>110</v>
      </c>
      <c r="B36" s="14">
        <v>8000</v>
      </c>
      <c r="C36" s="14">
        <v>12000</v>
      </c>
      <c r="D36" s="14">
        <v>16000</v>
      </c>
      <c r="E36" s="14">
        <v>26000</v>
      </c>
      <c r="F36" s="14">
        <v>28000</v>
      </c>
      <c r="G36" s="39">
        <v>35000</v>
      </c>
      <c r="H36" s="30">
        <f>'Income Statement'!H7*0.008</f>
        <v>32585.224000000002</v>
      </c>
      <c r="I36" s="30">
        <f>'Income Statement'!I7*0.008</f>
        <v>39048.867199999993</v>
      </c>
      <c r="J36" s="30">
        <f>'Income Statement'!J7*0.008</f>
        <v>46017.853503999992</v>
      </c>
    </row>
    <row r="37" spans="1:10" x14ac:dyDescent="0.2">
      <c r="A37" s="13" t="s">
        <v>111</v>
      </c>
      <c r="B37" s="14">
        <v>739000</v>
      </c>
      <c r="C37" s="14">
        <v>739000</v>
      </c>
      <c r="D37" s="14">
        <v>739000</v>
      </c>
      <c r="E37" s="14">
        <v>739000</v>
      </c>
      <c r="F37" s="14">
        <v>987000</v>
      </c>
      <c r="G37" s="39">
        <v>987000</v>
      </c>
      <c r="H37" s="30">
        <v>987000</v>
      </c>
      <c r="I37" s="30">
        <v>987000</v>
      </c>
      <c r="J37" s="30">
        <v>987000</v>
      </c>
    </row>
    <row r="38" spans="1:10" x14ac:dyDescent="0.2">
      <c r="A38" s="13" t="s">
        <v>112</v>
      </c>
      <c r="B38" s="14">
        <v>5000</v>
      </c>
      <c r="C38" s="14">
        <v>8000</v>
      </c>
      <c r="D38" s="14">
        <v>12000</v>
      </c>
      <c r="E38" s="14">
        <v>16000</v>
      </c>
      <c r="F38" s="14">
        <v>18000</v>
      </c>
      <c r="G38" s="39">
        <v>22000</v>
      </c>
      <c r="H38" s="30">
        <f>G38*1.1</f>
        <v>24200.000000000004</v>
      </c>
      <c r="I38" s="30">
        <f>H38*1.08</f>
        <v>26136.000000000007</v>
      </c>
      <c r="J38" s="30">
        <f>I38*1.06</f>
        <v>27704.160000000011</v>
      </c>
    </row>
    <row r="39" spans="1:10" x14ac:dyDescent="0.2">
      <c r="A39" s="19" t="s">
        <v>113</v>
      </c>
      <c r="B39" s="22">
        <f>SUM(B35:B38)</f>
        <v>840000</v>
      </c>
      <c r="C39" s="22">
        <f t="shared" ref="C39:J39" si="4">SUM(C35:C38)</f>
        <v>862000</v>
      </c>
      <c r="D39" s="22">
        <f t="shared" si="4"/>
        <v>877000</v>
      </c>
      <c r="E39" s="22">
        <f t="shared" si="4"/>
        <v>889000</v>
      </c>
      <c r="F39" s="22">
        <f t="shared" si="4"/>
        <v>1135000</v>
      </c>
      <c r="G39" s="42">
        <f t="shared" si="4"/>
        <v>1149000</v>
      </c>
      <c r="H39" s="33">
        <f t="shared" si="4"/>
        <v>1150885.2239999999</v>
      </c>
      <c r="I39" s="33">
        <f t="shared" si="4"/>
        <v>1160355.8672</v>
      </c>
      <c r="J39" s="33">
        <f t="shared" si="4"/>
        <v>1168893.0135039999</v>
      </c>
    </row>
    <row r="40" spans="1:10" ht="8" customHeight="1" x14ac:dyDescent="0.2">
      <c r="G40" s="41"/>
      <c r="H40" s="32"/>
      <c r="I40" s="32"/>
      <c r="J40" s="32"/>
    </row>
    <row r="41" spans="1:10" ht="17" thickBot="1" x14ac:dyDescent="0.25">
      <c r="A41" s="19" t="s">
        <v>114</v>
      </c>
      <c r="B41" s="21">
        <f>B32+B39</f>
        <v>1084500</v>
      </c>
      <c r="C41" s="21">
        <f t="shared" ref="C41:J41" si="5">C32+C39</f>
        <v>1239000</v>
      </c>
      <c r="D41" s="21">
        <f t="shared" si="5"/>
        <v>1412000</v>
      </c>
      <c r="E41" s="21">
        <f t="shared" si="5"/>
        <v>1557000</v>
      </c>
      <c r="F41" s="21">
        <f t="shared" si="5"/>
        <v>2685000</v>
      </c>
      <c r="G41" s="40">
        <f t="shared" si="5"/>
        <v>2159000</v>
      </c>
      <c r="H41" s="31">
        <f t="shared" si="5"/>
        <v>2270170.7689999999</v>
      </c>
      <c r="I41" s="31">
        <f t="shared" si="5"/>
        <v>2475422.1595999999</v>
      </c>
      <c r="J41" s="31">
        <f t="shared" si="5"/>
        <v>2689135.4973200001</v>
      </c>
    </row>
    <row r="42" spans="1:10" ht="8" customHeight="1" thickTop="1" x14ac:dyDescent="0.2">
      <c r="G42" s="41"/>
      <c r="H42" s="32"/>
      <c r="I42" s="32"/>
      <c r="J42" s="32"/>
    </row>
    <row r="43" spans="1:10" x14ac:dyDescent="0.2">
      <c r="A43" s="24" t="s">
        <v>115</v>
      </c>
      <c r="B43" s="26"/>
      <c r="C43" s="26"/>
      <c r="D43" s="26"/>
      <c r="E43" s="26"/>
      <c r="F43" s="26"/>
      <c r="G43" s="38"/>
      <c r="H43" s="26"/>
      <c r="I43" s="26"/>
      <c r="J43" s="26"/>
    </row>
    <row r="44" spans="1:10" x14ac:dyDescent="0.2">
      <c r="A44" s="13" t="s">
        <v>116</v>
      </c>
      <c r="B44" s="14">
        <v>1095600</v>
      </c>
      <c r="C44" s="14">
        <v>1539500</v>
      </c>
      <c r="D44" s="14">
        <v>1693300</v>
      </c>
      <c r="E44" s="14">
        <v>2299700</v>
      </c>
      <c r="F44" s="14">
        <v>2733700</v>
      </c>
      <c r="G44" s="39">
        <v>3333500</v>
      </c>
      <c r="H44" s="30">
        <v>4748372.301500001</v>
      </c>
      <c r="I44" s="30">
        <v>6189058.8635</v>
      </c>
      <c r="J44" s="30">
        <v>7727194.3978919946</v>
      </c>
    </row>
    <row r="45" spans="1:10" x14ac:dyDescent="0.2">
      <c r="A45" s="13" t="s">
        <v>117</v>
      </c>
      <c r="B45" s="14">
        <v>700</v>
      </c>
      <c r="C45" s="14">
        <v>-4200</v>
      </c>
      <c r="D45" s="14">
        <v>-18500</v>
      </c>
      <c r="E45" s="14">
        <v>-2200</v>
      </c>
      <c r="F45" s="14">
        <v>200</v>
      </c>
      <c r="G45" s="39">
        <v>-1500</v>
      </c>
      <c r="H45" s="30">
        <v>-2000</v>
      </c>
      <c r="I45" s="30">
        <v>-2000</v>
      </c>
      <c r="J45" s="30">
        <v>-2000</v>
      </c>
    </row>
    <row r="46" spans="1:10" x14ac:dyDescent="0.2">
      <c r="A46" s="13" t="s">
        <v>118</v>
      </c>
      <c r="B46" s="14">
        <v>-595400</v>
      </c>
      <c r="C46" s="14">
        <v>-414000</v>
      </c>
      <c r="D46" s="14">
        <v>-222400</v>
      </c>
      <c r="E46" s="14">
        <v>-112400</v>
      </c>
      <c r="F46" s="14">
        <v>52000</v>
      </c>
      <c r="G46" s="39">
        <v>200000</v>
      </c>
      <c r="H46" s="30">
        <f>G46+'Income Statement'!H60</f>
        <v>3838.3521612805198</v>
      </c>
      <c r="I46" s="30">
        <f>H46+'Income Statement'!I60</f>
        <v>14024.155729135748</v>
      </c>
      <c r="J46" s="30">
        <f>I46+'Income Statement'!J60</f>
        <v>301700.02441327961</v>
      </c>
    </row>
    <row r="47" spans="1:10" x14ac:dyDescent="0.2">
      <c r="A47" s="19" t="s">
        <v>119</v>
      </c>
      <c r="B47" s="22">
        <f>B44+B45+B46</f>
        <v>500900</v>
      </c>
      <c r="C47" s="22">
        <f t="shared" ref="C47:J47" si="6">C44+C45+C46</f>
        <v>1121300</v>
      </c>
      <c r="D47" s="22">
        <f t="shared" si="6"/>
        <v>1452400</v>
      </c>
      <c r="E47" s="22">
        <f t="shared" si="6"/>
        <v>2185100</v>
      </c>
      <c r="F47" s="22">
        <f t="shared" si="6"/>
        <v>2785900</v>
      </c>
      <c r="G47" s="42">
        <f t="shared" si="6"/>
        <v>3532000</v>
      </c>
      <c r="H47" s="33">
        <f t="shared" si="6"/>
        <v>4750210.6536612818</v>
      </c>
      <c r="I47" s="33">
        <f t="shared" si="6"/>
        <v>6201083.0192291355</v>
      </c>
      <c r="J47" s="33">
        <f t="shared" si="6"/>
        <v>8026894.4223052738</v>
      </c>
    </row>
    <row r="48" spans="1:10" ht="8" customHeight="1" x14ac:dyDescent="0.2">
      <c r="G48" s="41"/>
      <c r="H48" s="32"/>
      <c r="I48" s="32"/>
      <c r="J48" s="32"/>
    </row>
    <row r="49" spans="1:10" ht="17" thickBot="1" x14ac:dyDescent="0.25">
      <c r="A49" s="71" t="s">
        <v>120</v>
      </c>
      <c r="B49" s="73">
        <f>B41+B47</f>
        <v>1585400</v>
      </c>
      <c r="C49" s="73">
        <f t="shared" ref="C49:J49" si="7">C41+C47</f>
        <v>2360300</v>
      </c>
      <c r="D49" s="73">
        <f t="shared" si="7"/>
        <v>2864400</v>
      </c>
      <c r="E49" s="73">
        <f t="shared" si="7"/>
        <v>3742100</v>
      </c>
      <c r="F49" s="73">
        <f t="shared" si="7"/>
        <v>5470900</v>
      </c>
      <c r="G49" s="74">
        <f t="shared" si="7"/>
        <v>5691000</v>
      </c>
      <c r="H49" s="104">
        <f t="shared" si="7"/>
        <v>7020381.4226612821</v>
      </c>
      <c r="I49" s="104">
        <f t="shared" si="7"/>
        <v>8676505.1788291354</v>
      </c>
      <c r="J49" s="104">
        <f t="shared" si="7"/>
        <v>10716029.919625275</v>
      </c>
    </row>
    <row r="50" spans="1:10" ht="8" customHeight="1" thickTop="1" x14ac:dyDescent="0.2">
      <c r="G50" s="41"/>
      <c r="H50" s="32"/>
      <c r="I50" s="32"/>
      <c r="J50" s="32"/>
    </row>
    <row r="51" spans="1:10" x14ac:dyDescent="0.2">
      <c r="A51" s="63" t="s">
        <v>121</v>
      </c>
      <c r="B51" s="65"/>
      <c r="C51" s="65"/>
      <c r="D51" s="65"/>
      <c r="E51" s="65"/>
      <c r="F51" s="65"/>
      <c r="G51" s="66"/>
      <c r="H51" s="65"/>
      <c r="I51" s="65"/>
      <c r="J51" s="65"/>
    </row>
    <row r="52" spans="1:10" x14ac:dyDescent="0.2">
      <c r="A52" s="64" t="s">
        <v>122</v>
      </c>
      <c r="B52" s="67">
        <f>B24-B49</f>
        <v>0</v>
      </c>
      <c r="C52" s="67">
        <f t="shared" ref="C52:J52" si="8">C24-C49</f>
        <v>0</v>
      </c>
      <c r="D52" s="67">
        <f t="shared" si="8"/>
        <v>0</v>
      </c>
      <c r="E52" s="67">
        <f t="shared" si="8"/>
        <v>0</v>
      </c>
      <c r="F52" s="67">
        <f t="shared" si="8"/>
        <v>0</v>
      </c>
      <c r="G52" s="68">
        <f t="shared" si="8"/>
        <v>0</v>
      </c>
      <c r="H52" s="69">
        <f t="shared" si="8"/>
        <v>0</v>
      </c>
      <c r="I52" s="69">
        <f t="shared" si="8"/>
        <v>0</v>
      </c>
      <c r="J52" s="69">
        <f t="shared" si="8"/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6CED-C1C2-434D-84EE-DD20725244A8}">
  <dimension ref="A1:J55"/>
  <sheetViews>
    <sheetView workbookViewId="0">
      <pane xSplit="1" ySplit="3" topLeftCell="B18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6" x14ac:dyDescent="0.2"/>
  <cols>
    <col min="1" max="1" width="51.6640625" customWidth="1"/>
    <col min="2" max="10" width="17.5" customWidth="1"/>
  </cols>
  <sheetData>
    <row r="1" spans="1:10" ht="28" customHeight="1" x14ac:dyDescent="0.25">
      <c r="A1" s="2" t="s">
        <v>123</v>
      </c>
    </row>
    <row r="2" spans="1:10" ht="18" customHeight="1" x14ac:dyDescent="0.2">
      <c r="A2" s="3" t="s">
        <v>81</v>
      </c>
    </row>
    <row r="3" spans="1:10" ht="24" customHeight="1" thickBot="1" x14ac:dyDescent="0.25">
      <c r="A3" s="51" t="s">
        <v>208</v>
      </c>
      <c r="B3" s="52" t="s">
        <v>2</v>
      </c>
      <c r="C3" s="52" t="s">
        <v>3</v>
      </c>
      <c r="D3" s="52" t="s">
        <v>4</v>
      </c>
      <c r="E3" s="52" t="s">
        <v>5</v>
      </c>
      <c r="F3" s="52" t="s">
        <v>6</v>
      </c>
      <c r="G3" s="53" t="s">
        <v>7</v>
      </c>
      <c r="H3" s="52" t="s">
        <v>8</v>
      </c>
      <c r="I3" s="52" t="s">
        <v>9</v>
      </c>
      <c r="J3" s="52" t="s">
        <v>10</v>
      </c>
    </row>
    <row r="4" spans="1:10" x14ac:dyDescent="0.2">
      <c r="A4" s="24" t="s">
        <v>124</v>
      </c>
      <c r="B4" s="26"/>
      <c r="C4" s="26"/>
      <c r="D4" s="26"/>
      <c r="E4" s="26"/>
      <c r="F4" s="26"/>
      <c r="G4" s="38"/>
      <c r="H4" s="26"/>
      <c r="I4" s="26"/>
      <c r="J4" s="26"/>
    </row>
    <row r="5" spans="1:10" x14ac:dyDescent="0.2">
      <c r="A5" s="13" t="s">
        <v>125</v>
      </c>
      <c r="B5" s="17">
        <f>'Income Statement'!B60</f>
        <v>-9256</v>
      </c>
      <c r="C5" s="17">
        <f>'Income Statement'!C60</f>
        <v>-22835</v>
      </c>
      <c r="D5" s="17">
        <f>'Income Statement'!D60</f>
        <v>131460</v>
      </c>
      <c r="E5" s="17">
        <f>'Income Statement'!E60</f>
        <v>224230</v>
      </c>
      <c r="F5" s="17">
        <f>'Income Statement'!F60</f>
        <v>401130</v>
      </c>
      <c r="G5" s="49">
        <f>'Income Statement'!G60</f>
        <v>529700</v>
      </c>
      <c r="H5" s="30">
        <f>'Income Statement'!H60</f>
        <v>-196161.64783871948</v>
      </c>
      <c r="I5" s="30">
        <f>'Income Statement'!I60</f>
        <v>10185.803567855228</v>
      </c>
      <c r="J5" s="30">
        <f>'Income Statement'!J60</f>
        <v>287675.86868414388</v>
      </c>
    </row>
    <row r="6" spans="1:10" x14ac:dyDescent="0.2">
      <c r="A6" s="13" t="s">
        <v>126</v>
      </c>
      <c r="B6" s="17"/>
      <c r="C6" s="17"/>
      <c r="D6" s="17"/>
      <c r="E6" s="17"/>
      <c r="F6" s="17"/>
      <c r="G6" s="49"/>
      <c r="H6" s="30"/>
      <c r="I6" s="30"/>
      <c r="J6" s="30"/>
    </row>
    <row r="7" spans="1:10" x14ac:dyDescent="0.2">
      <c r="A7" s="13" t="s">
        <v>127</v>
      </c>
      <c r="B7" s="14">
        <v>14000</v>
      </c>
      <c r="C7" s="14">
        <v>22000</v>
      </c>
      <c r="D7" s="14">
        <v>38000</v>
      </c>
      <c r="E7" s="14">
        <v>52000</v>
      </c>
      <c r="F7" s="14">
        <v>62000</v>
      </c>
      <c r="G7" s="39">
        <v>70000</v>
      </c>
      <c r="H7" s="30">
        <f>G7*1.15</f>
        <v>80500</v>
      </c>
      <c r="I7" s="30">
        <f>H7*1.12</f>
        <v>90160.000000000015</v>
      </c>
      <c r="J7" s="30">
        <f>I7*1.1</f>
        <v>99176.000000000029</v>
      </c>
    </row>
    <row r="8" spans="1:10" x14ac:dyDescent="0.2">
      <c r="A8" s="13" t="s">
        <v>128</v>
      </c>
      <c r="B8" s="17">
        <f>'Income Statement'!B69</f>
        <v>91567</v>
      </c>
      <c r="C8" s="17">
        <f>'Income Statement'!C69</f>
        <v>161849</v>
      </c>
      <c r="D8" s="17">
        <f>'Income Statement'!D69</f>
        <v>340020</v>
      </c>
      <c r="E8" s="17">
        <f>'Income Statement'!E69</f>
        <v>488982</v>
      </c>
      <c r="F8" s="17">
        <f>'Income Statement'!F69</f>
        <v>636164</v>
      </c>
      <c r="G8" s="49">
        <f>'Income Statement'!G69</f>
        <v>805000</v>
      </c>
      <c r="H8" s="30">
        <f>'Income Statement'!H69</f>
        <v>1175104.6404999997</v>
      </c>
      <c r="I8" s="30">
        <f>'Income Statement'!I69</f>
        <v>1337423.7016</v>
      </c>
      <c r="J8" s="30">
        <f>'Income Statement'!J69</f>
        <v>1478323.5438159998</v>
      </c>
    </row>
    <row r="9" spans="1:10" x14ac:dyDescent="0.2">
      <c r="A9" s="13" t="s">
        <v>129</v>
      </c>
      <c r="B9" s="14">
        <v>18000</v>
      </c>
      <c r="C9" s="14">
        <v>29000</v>
      </c>
      <c r="D9" s="14">
        <v>46000</v>
      </c>
      <c r="E9" s="14">
        <v>62000</v>
      </c>
      <c r="F9" s="14">
        <v>79000</v>
      </c>
      <c r="G9" s="39">
        <v>99000</v>
      </c>
      <c r="H9" s="30">
        <f>'Income Statement'!H35</f>
        <v>142560.35500000001</v>
      </c>
      <c r="I9" s="30">
        <f>'Income Statement'!I35</f>
        <v>156195.46879999997</v>
      </c>
      <c r="J9" s="30">
        <f>'Income Statement'!J35</f>
        <v>172566.95063999997</v>
      </c>
    </row>
    <row r="10" spans="1:10" x14ac:dyDescent="0.2">
      <c r="A10" s="13" t="s">
        <v>130</v>
      </c>
      <c r="B10" s="14">
        <v>8000</v>
      </c>
      <c r="C10" s="14">
        <v>18000</v>
      </c>
      <c r="D10" s="14">
        <v>39000</v>
      </c>
      <c r="E10" s="14">
        <v>59000</v>
      </c>
      <c r="F10" s="14">
        <v>53000</v>
      </c>
      <c r="G10" s="39">
        <v>47000</v>
      </c>
      <c r="H10" s="30">
        <f>'Income Statement'!H12</f>
        <v>44650</v>
      </c>
      <c r="I10" s="30">
        <f>'Income Statement'!I12</f>
        <v>42417.5</v>
      </c>
      <c r="J10" s="30">
        <f>'Income Statement'!J12</f>
        <v>40296.625</v>
      </c>
    </row>
    <row r="11" spans="1:10" x14ac:dyDescent="0.2">
      <c r="A11" s="13" t="s">
        <v>131</v>
      </c>
      <c r="B11" s="14">
        <v>1900</v>
      </c>
      <c r="C11" s="14">
        <v>1900</v>
      </c>
      <c r="D11" s="14">
        <v>1900</v>
      </c>
      <c r="E11" s="14">
        <v>900</v>
      </c>
      <c r="F11" s="14">
        <v>1100</v>
      </c>
      <c r="G11" s="39">
        <v>2100</v>
      </c>
      <c r="H11" s="30">
        <f>G11</f>
        <v>2100</v>
      </c>
      <c r="I11" s="30">
        <f>H11</f>
        <v>2100</v>
      </c>
      <c r="J11" s="30">
        <f>I11</f>
        <v>2100</v>
      </c>
    </row>
    <row r="12" spans="1:10" x14ac:dyDescent="0.2">
      <c r="A12" s="13" t="s">
        <v>132</v>
      </c>
      <c r="B12" s="14">
        <v>2500</v>
      </c>
      <c r="C12" s="14">
        <v>-1100</v>
      </c>
      <c r="D12" s="14">
        <v>7800</v>
      </c>
      <c r="E12" s="14">
        <v>-3200</v>
      </c>
      <c r="F12" s="14">
        <v>2200</v>
      </c>
      <c r="G12" s="39">
        <v>1500</v>
      </c>
      <c r="H12" s="30">
        <v>1000</v>
      </c>
      <c r="I12" s="30">
        <v>1000</v>
      </c>
      <c r="J12" s="30">
        <v>1000</v>
      </c>
    </row>
    <row r="13" spans="1:10" x14ac:dyDescent="0.2">
      <c r="A13" s="13" t="s">
        <v>133</v>
      </c>
      <c r="B13" s="14">
        <v>0</v>
      </c>
      <c r="C13" s="14">
        <v>0</v>
      </c>
      <c r="D13" s="14">
        <v>-3500</v>
      </c>
      <c r="E13" s="14">
        <v>-1500</v>
      </c>
      <c r="F13" s="14">
        <v>-40000</v>
      </c>
      <c r="G13" s="39">
        <v>-5000</v>
      </c>
      <c r="H13" s="30">
        <v>-3000</v>
      </c>
      <c r="I13" s="30">
        <v>-2000</v>
      </c>
      <c r="J13" s="30">
        <v>-1000</v>
      </c>
    </row>
    <row r="14" spans="1:10" x14ac:dyDescent="0.2">
      <c r="A14" s="13" t="s">
        <v>134</v>
      </c>
      <c r="B14" s="14">
        <v>1000</v>
      </c>
      <c r="C14" s="14">
        <v>2000</v>
      </c>
      <c r="D14" s="14">
        <v>3000</v>
      </c>
      <c r="E14" s="14">
        <v>4000</v>
      </c>
      <c r="F14" s="14">
        <v>5000</v>
      </c>
      <c r="G14" s="39">
        <v>6000</v>
      </c>
      <c r="H14" s="30">
        <v>7000</v>
      </c>
      <c r="I14" s="30">
        <v>8000</v>
      </c>
      <c r="J14" s="30">
        <v>9000</v>
      </c>
    </row>
    <row r="15" spans="1:10" x14ac:dyDescent="0.2">
      <c r="A15" s="13" t="s">
        <v>135</v>
      </c>
      <c r="B15" s="17"/>
      <c r="C15" s="17"/>
      <c r="D15" s="17"/>
      <c r="E15" s="17"/>
      <c r="F15" s="17"/>
      <c r="G15" s="49"/>
      <c r="H15" s="30"/>
      <c r="I15" s="30"/>
      <c r="J15" s="30"/>
    </row>
    <row r="16" spans="1:10" x14ac:dyDescent="0.2">
      <c r="A16" s="13" t="s">
        <v>136</v>
      </c>
      <c r="B16" s="14">
        <v>-32000</v>
      </c>
      <c r="C16" s="14">
        <v>-65000</v>
      </c>
      <c r="D16" s="14">
        <v>-137000</v>
      </c>
      <c r="E16" s="14">
        <v>-115000</v>
      </c>
      <c r="F16" s="14">
        <v>-111000</v>
      </c>
      <c r="G16" s="39">
        <v>-146000</v>
      </c>
      <c r="H16" s="30">
        <f>-('Balance Sheet'!H7-'Balance Sheet'!G7)</f>
        <v>-116152.63013698626</v>
      </c>
      <c r="I16" s="30">
        <f>-('Balance Sheet'!I7-'Balance Sheet'!H7)</f>
        <v>-154950.35068493139</v>
      </c>
      <c r="J16" s="30">
        <f>-('Balance Sheet'!J7-'Balance Sheet'!I7)</f>
        <v>-167064.74016438366</v>
      </c>
    </row>
    <row r="17" spans="1:10" x14ac:dyDescent="0.2">
      <c r="A17" s="13" t="s">
        <v>137</v>
      </c>
      <c r="B17" s="14">
        <v>-5000</v>
      </c>
      <c r="C17" s="14">
        <v>-12000</v>
      </c>
      <c r="D17" s="14">
        <v>-22000</v>
      </c>
      <c r="E17" s="14">
        <v>-17000</v>
      </c>
      <c r="F17" s="14">
        <v>-12000</v>
      </c>
      <c r="G17" s="39">
        <v>-22000</v>
      </c>
      <c r="H17" s="30">
        <f>-('Balance Sheet'!H9-'Balance Sheet'!G9)</f>
        <v>8171.1749999999884</v>
      </c>
      <c r="I17" s="30">
        <f>-('Balance Sheet'!I9-'Balance Sheet'!H9)</f>
        <v>-20198.88499999998</v>
      </c>
      <c r="J17" s="30">
        <f>-('Balance Sheet'!J9-'Balance Sheet'!I9)</f>
        <v>-21778.082200000004</v>
      </c>
    </row>
    <row r="18" spans="1:10" x14ac:dyDescent="0.2">
      <c r="A18" s="13" t="s">
        <v>138</v>
      </c>
      <c r="B18" s="14">
        <v>-27000</v>
      </c>
      <c r="C18" s="14">
        <v>-69000</v>
      </c>
      <c r="D18" s="14">
        <v>-102000</v>
      </c>
      <c r="E18" s="14">
        <v>-94000</v>
      </c>
      <c r="F18" s="14">
        <v>-96000</v>
      </c>
      <c r="G18" s="39">
        <v>-155000</v>
      </c>
      <c r="H18" s="30">
        <f>-(('Balance Sheet'!H8+'Balance Sheet'!H18)-('Balance Sheet'!G8+'Balance Sheet'!G18))+H9</f>
        <v>108781.26800000001</v>
      </c>
      <c r="I18" s="30">
        <f>-(('Balance Sheet'!I8+'Balance Sheet'!I18)-('Balance Sheet'!H8+'Balance Sheet'!H18))+I9</f>
        <v>92366.992199999979</v>
      </c>
      <c r="J18" s="30">
        <f>-(('Balance Sheet'!J8+'Balance Sheet'!J18)-('Balance Sheet'!I8+'Balance Sheet'!I18))+J9</f>
        <v>103748.210888</v>
      </c>
    </row>
    <row r="19" spans="1:10" x14ac:dyDescent="0.2">
      <c r="A19" s="13" t="s">
        <v>139</v>
      </c>
      <c r="B19" s="14">
        <v>3500</v>
      </c>
      <c r="C19" s="14">
        <v>9500</v>
      </c>
      <c r="D19" s="14">
        <v>10000</v>
      </c>
      <c r="E19" s="14">
        <v>-6000</v>
      </c>
      <c r="F19" s="14">
        <v>14000</v>
      </c>
      <c r="G19" s="39">
        <v>6000</v>
      </c>
      <c r="H19" s="30">
        <f>'Balance Sheet'!H27-'Balance Sheet'!G27</f>
        <v>-1268.4700000000012</v>
      </c>
      <c r="I19" s="30">
        <f>'Balance Sheet'!I27-'Balance Sheet'!H27</f>
        <v>8079.5539999999964</v>
      </c>
      <c r="J19" s="30">
        <f>'Balance Sheet'!J27-'Balance Sheet'!I27</f>
        <v>8711.2328799999959</v>
      </c>
    </row>
    <row r="20" spans="1:10" x14ac:dyDescent="0.2">
      <c r="A20" s="13" t="s">
        <v>140</v>
      </c>
      <c r="B20" s="14">
        <v>28000</v>
      </c>
      <c r="C20" s="14">
        <v>43000</v>
      </c>
      <c r="D20" s="14">
        <v>47000</v>
      </c>
      <c r="E20" s="14">
        <v>45000</v>
      </c>
      <c r="F20" s="14">
        <v>39000</v>
      </c>
      <c r="G20" s="39">
        <v>58000</v>
      </c>
      <c r="H20" s="30">
        <f>'Balance Sheet'!H28-'Balance Sheet'!G28</f>
        <v>36218.005000000005</v>
      </c>
      <c r="I20" s="30">
        <f>'Balance Sheet'!I28-'Balance Sheet'!H28</f>
        <v>58913.992199999979</v>
      </c>
      <c r="J20" s="30">
        <f>'Balance Sheet'!J28-'Balance Sheet'!I28</f>
        <v>60798.769527999975</v>
      </c>
    </row>
    <row r="21" spans="1:10" x14ac:dyDescent="0.2">
      <c r="A21" s="13" t="s">
        <v>141</v>
      </c>
      <c r="B21" s="14">
        <v>58000</v>
      </c>
      <c r="C21" s="14">
        <v>79000</v>
      </c>
      <c r="D21" s="14">
        <v>99000</v>
      </c>
      <c r="E21" s="14">
        <v>99000</v>
      </c>
      <c r="F21" s="14">
        <v>90000</v>
      </c>
      <c r="G21" s="39">
        <v>139000</v>
      </c>
      <c r="H21" s="30">
        <f>('Balance Sheet'!H30+'Balance Sheet'!H36)-('Balance Sheet'!G30+'Balance Sheet'!G36)</f>
        <v>70021.234000000055</v>
      </c>
      <c r="I21" s="30">
        <f>('Balance Sheet'!I30+'Balance Sheet'!I36)-('Balance Sheet'!H30+'Balance Sheet'!H36)</f>
        <v>134053.84439999983</v>
      </c>
      <c r="J21" s="30">
        <f>('Balance Sheet'!J30+'Balance Sheet'!J36)-('Balance Sheet'!I30+'Balance Sheet'!I36)</f>
        <v>141813.23531200003</v>
      </c>
    </row>
    <row r="22" spans="1:10" x14ac:dyDescent="0.2">
      <c r="A22" s="13" t="s">
        <v>142</v>
      </c>
      <c r="B22" s="14">
        <v>2100</v>
      </c>
      <c r="C22" s="14">
        <v>3700</v>
      </c>
      <c r="D22" s="14">
        <v>5800</v>
      </c>
      <c r="E22" s="14">
        <v>7800</v>
      </c>
      <c r="F22" s="14">
        <v>8700</v>
      </c>
      <c r="G22" s="39">
        <v>10400</v>
      </c>
      <c r="H22" s="30">
        <v>8000</v>
      </c>
      <c r="I22" s="30">
        <v>8000</v>
      </c>
      <c r="J22" s="30">
        <v>8000</v>
      </c>
    </row>
    <row r="23" spans="1:10" x14ac:dyDescent="0.2">
      <c r="A23" s="19" t="s">
        <v>143</v>
      </c>
      <c r="B23" s="22">
        <f>SUM(B5:B22)</f>
        <v>155311</v>
      </c>
      <c r="C23" s="22">
        <f t="shared" ref="C23:J23" si="0">SUM(C5:C22)</f>
        <v>200014</v>
      </c>
      <c r="D23" s="22">
        <f t="shared" si="0"/>
        <v>504480</v>
      </c>
      <c r="E23" s="22">
        <f t="shared" si="0"/>
        <v>806212</v>
      </c>
      <c r="F23" s="22">
        <f t="shared" si="0"/>
        <v>1132294</v>
      </c>
      <c r="G23" s="42">
        <f t="shared" si="0"/>
        <v>1445700</v>
      </c>
      <c r="H23" s="33">
        <f t="shared" si="0"/>
        <v>1367523.9295242941</v>
      </c>
      <c r="I23" s="33">
        <f t="shared" si="0"/>
        <v>1771747.6210829236</v>
      </c>
      <c r="J23" s="33">
        <f t="shared" si="0"/>
        <v>2223367.6143837594</v>
      </c>
    </row>
    <row r="24" spans="1:10" ht="8" customHeight="1" x14ac:dyDescent="0.2">
      <c r="G24" s="41"/>
      <c r="H24" s="32"/>
      <c r="I24" s="32"/>
      <c r="J24" s="32"/>
    </row>
    <row r="25" spans="1:10" x14ac:dyDescent="0.2">
      <c r="A25" s="24" t="s">
        <v>144</v>
      </c>
      <c r="B25" s="26"/>
      <c r="C25" s="26"/>
      <c r="D25" s="26"/>
      <c r="E25" s="26"/>
      <c r="F25" s="26"/>
      <c r="G25" s="38"/>
      <c r="H25" s="26"/>
      <c r="I25" s="26"/>
      <c r="J25" s="26"/>
    </row>
    <row r="26" spans="1:10" x14ac:dyDescent="0.2">
      <c r="A26" s="13" t="s">
        <v>145</v>
      </c>
      <c r="B26" s="14">
        <v>-750000</v>
      </c>
      <c r="C26" s="14">
        <v>-1350000</v>
      </c>
      <c r="D26" s="14">
        <v>-1200000</v>
      </c>
      <c r="E26" s="14">
        <v>-2100000</v>
      </c>
      <c r="F26" s="14">
        <v>-2500000</v>
      </c>
      <c r="G26" s="39">
        <v>-2800000</v>
      </c>
      <c r="H26" s="30">
        <f>G26*1.08</f>
        <v>-3024000</v>
      </c>
      <c r="I26" s="30">
        <f>H26*1.06</f>
        <v>-3205440</v>
      </c>
      <c r="J26" s="30">
        <f>I26*1.05</f>
        <v>-3365712</v>
      </c>
    </row>
    <row r="27" spans="1:10" x14ac:dyDescent="0.2">
      <c r="A27" s="13" t="s">
        <v>146</v>
      </c>
      <c r="B27" s="14">
        <v>340000</v>
      </c>
      <c r="C27" s="14">
        <v>620000</v>
      </c>
      <c r="D27" s="14">
        <v>850000</v>
      </c>
      <c r="E27" s="14">
        <v>1250000</v>
      </c>
      <c r="F27" s="14">
        <v>1850000</v>
      </c>
      <c r="G27" s="39">
        <v>2500000</v>
      </c>
      <c r="H27" s="30">
        <f>G27*1.06</f>
        <v>2650000</v>
      </c>
      <c r="I27" s="30">
        <f>H27*1.05</f>
        <v>2782500</v>
      </c>
      <c r="J27" s="30">
        <f>I27*1.04</f>
        <v>2893800</v>
      </c>
    </row>
    <row r="28" spans="1:10" x14ac:dyDescent="0.2">
      <c r="A28" s="13" t="s">
        <v>147</v>
      </c>
      <c r="B28" s="14">
        <v>35000</v>
      </c>
      <c r="C28" s="14">
        <v>65000</v>
      </c>
      <c r="D28" s="14">
        <v>40000</v>
      </c>
      <c r="E28" s="14">
        <v>80000</v>
      </c>
      <c r="F28" s="14">
        <v>100000</v>
      </c>
      <c r="G28" s="39">
        <v>50000</v>
      </c>
      <c r="H28" s="30">
        <v>50000</v>
      </c>
      <c r="I28" s="30">
        <v>50000</v>
      </c>
      <c r="J28" s="30">
        <v>50000</v>
      </c>
    </row>
    <row r="29" spans="1:10" x14ac:dyDescent="0.2">
      <c r="A29" s="13" t="s">
        <v>148</v>
      </c>
      <c r="B29" s="14">
        <v>-14000</v>
      </c>
      <c r="C29" s="14">
        <v>-28000</v>
      </c>
      <c r="D29" s="14">
        <v>-38000</v>
      </c>
      <c r="E29" s="14">
        <v>-47000</v>
      </c>
      <c r="F29" s="14">
        <v>-59000</v>
      </c>
      <c r="G29" s="39">
        <v>-75000</v>
      </c>
      <c r="H29" s="30">
        <f>-'Income Statement'!H7*0.018</f>
        <v>-73316.754000000001</v>
      </c>
      <c r="I29" s="30">
        <f>-'Income Statement'!I7*0.018</f>
        <v>-87859.951199999981</v>
      </c>
      <c r="J29" s="30">
        <f>-'Income Statement'!J7*0.018</f>
        <v>-103540.17038399998</v>
      </c>
    </row>
    <row r="30" spans="1:10" x14ac:dyDescent="0.2">
      <c r="A30" s="13" t="s">
        <v>149</v>
      </c>
      <c r="B30" s="14">
        <v>-12000</v>
      </c>
      <c r="C30" s="14">
        <v>-32000</v>
      </c>
      <c r="D30" s="14">
        <v>-63000</v>
      </c>
      <c r="E30" s="14">
        <v>-74000</v>
      </c>
      <c r="F30" s="14">
        <v>-37000</v>
      </c>
      <c r="G30" s="39">
        <v>-60000</v>
      </c>
      <c r="H30" s="30">
        <f>-'Income Statement'!H7*0.015</f>
        <v>-61097.294999999998</v>
      </c>
      <c r="I30" s="30">
        <f>-'Income Statement'!I7*0.015</f>
        <v>-73216.625999999989</v>
      </c>
      <c r="J30" s="30">
        <f>-'Income Statement'!J7*0.015</f>
        <v>-86283.475319999983</v>
      </c>
    </row>
    <row r="31" spans="1:10" x14ac:dyDescent="0.2">
      <c r="A31" s="13" t="s">
        <v>150</v>
      </c>
      <c r="B31" s="14">
        <v>0</v>
      </c>
      <c r="C31" s="14">
        <v>0</v>
      </c>
      <c r="D31" s="14">
        <v>-53000</v>
      </c>
      <c r="E31" s="14">
        <v>-12000</v>
      </c>
      <c r="F31" s="14">
        <v>-11000</v>
      </c>
      <c r="G31" s="39">
        <v>-120000</v>
      </c>
      <c r="H31" s="30">
        <v>-50000</v>
      </c>
      <c r="I31" s="30">
        <v>-30000</v>
      </c>
      <c r="J31" s="30">
        <v>-30000</v>
      </c>
    </row>
    <row r="32" spans="1:10" x14ac:dyDescent="0.2">
      <c r="A32" s="13" t="s">
        <v>151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39">
        <v>0</v>
      </c>
      <c r="H32" s="30">
        <v>0</v>
      </c>
      <c r="I32" s="30">
        <v>0</v>
      </c>
      <c r="J32" s="30">
        <v>0</v>
      </c>
    </row>
    <row r="33" spans="1:10" x14ac:dyDescent="0.2">
      <c r="A33" s="19" t="s">
        <v>152</v>
      </c>
      <c r="B33" s="22">
        <f>SUM(B26:B32)</f>
        <v>-401000</v>
      </c>
      <c r="C33" s="22">
        <f t="shared" ref="C33:J33" si="1">SUM(C26:C32)</f>
        <v>-725000</v>
      </c>
      <c r="D33" s="22">
        <f t="shared" si="1"/>
        <v>-464000</v>
      </c>
      <c r="E33" s="22">
        <f t="shared" si="1"/>
        <v>-903000</v>
      </c>
      <c r="F33" s="22">
        <f t="shared" si="1"/>
        <v>-657000</v>
      </c>
      <c r="G33" s="42">
        <f t="shared" si="1"/>
        <v>-505000</v>
      </c>
      <c r="H33" s="33">
        <f t="shared" si="1"/>
        <v>-508414.049</v>
      </c>
      <c r="I33" s="33">
        <f t="shared" si="1"/>
        <v>-564016.57719999994</v>
      </c>
      <c r="J33" s="33">
        <f t="shared" si="1"/>
        <v>-641735.64570399991</v>
      </c>
    </row>
    <row r="34" spans="1:10" ht="8" customHeight="1" x14ac:dyDescent="0.2">
      <c r="G34" s="41"/>
      <c r="H34" s="32"/>
      <c r="I34" s="32"/>
      <c r="J34" s="32"/>
    </row>
    <row r="35" spans="1:10" x14ac:dyDescent="0.2">
      <c r="A35" s="24" t="s">
        <v>153</v>
      </c>
      <c r="B35" s="26"/>
      <c r="C35" s="26"/>
      <c r="D35" s="26"/>
      <c r="E35" s="26"/>
      <c r="F35" s="26"/>
      <c r="G35" s="38"/>
      <c r="H35" s="26"/>
      <c r="I35" s="26"/>
      <c r="J35" s="26"/>
    </row>
    <row r="36" spans="1:10" x14ac:dyDescent="0.2">
      <c r="A36" s="13" t="s">
        <v>154</v>
      </c>
      <c r="B36" s="14">
        <v>0</v>
      </c>
      <c r="C36" s="14">
        <v>0</v>
      </c>
      <c r="D36" s="14">
        <v>0</v>
      </c>
      <c r="E36" s="14">
        <v>0</v>
      </c>
      <c r="F36" s="14">
        <v>1000000</v>
      </c>
      <c r="G36" s="39">
        <v>0</v>
      </c>
      <c r="H36" s="30">
        <v>0</v>
      </c>
      <c r="I36" s="30">
        <v>0</v>
      </c>
      <c r="J36" s="30">
        <v>0</v>
      </c>
    </row>
    <row r="37" spans="1:10" x14ac:dyDescent="0.2">
      <c r="A37" s="13" t="s">
        <v>155</v>
      </c>
      <c r="B37" s="14">
        <v>0</v>
      </c>
      <c r="C37" s="14">
        <v>0</v>
      </c>
      <c r="D37" s="14">
        <v>0</v>
      </c>
      <c r="E37" s="14">
        <v>0</v>
      </c>
      <c r="F37" s="14">
        <v>-112000</v>
      </c>
      <c r="G37" s="39">
        <v>-739000</v>
      </c>
      <c r="H37" s="30">
        <v>0</v>
      </c>
      <c r="I37" s="30">
        <v>0</v>
      </c>
      <c r="J37" s="30">
        <v>0</v>
      </c>
    </row>
    <row r="38" spans="1:10" x14ac:dyDescent="0.2">
      <c r="A38" s="13" t="s">
        <v>156</v>
      </c>
      <c r="B38" s="14">
        <v>0</v>
      </c>
      <c r="C38" s="14">
        <v>0</v>
      </c>
      <c r="D38" s="14">
        <v>0</v>
      </c>
      <c r="E38" s="14">
        <v>0</v>
      </c>
      <c r="F38" s="14">
        <v>-84000</v>
      </c>
      <c r="G38" s="39">
        <v>0</v>
      </c>
      <c r="H38" s="30">
        <v>0</v>
      </c>
      <c r="I38" s="30">
        <v>0</v>
      </c>
      <c r="J38" s="30">
        <v>0</v>
      </c>
    </row>
    <row r="39" spans="1:10" x14ac:dyDescent="0.2">
      <c r="A39" s="13" t="s">
        <v>157</v>
      </c>
      <c r="B39" s="14">
        <v>24000</v>
      </c>
      <c r="C39" s="14">
        <v>34000</v>
      </c>
      <c r="D39" s="14">
        <v>38000</v>
      </c>
      <c r="E39" s="14">
        <v>40000</v>
      </c>
      <c r="F39" s="14">
        <v>45000</v>
      </c>
      <c r="G39" s="39">
        <v>50000</v>
      </c>
      <c r="H39" s="30">
        <v>55000</v>
      </c>
      <c r="I39" s="30">
        <v>60000</v>
      </c>
      <c r="J39" s="30">
        <v>65000</v>
      </c>
    </row>
    <row r="40" spans="1:10" x14ac:dyDescent="0.2">
      <c r="A40" s="13" t="s">
        <v>158</v>
      </c>
      <c r="B40" s="14">
        <v>-6000</v>
      </c>
      <c r="C40" s="14">
        <v>-14000</v>
      </c>
      <c r="D40" s="14">
        <v>-20000</v>
      </c>
      <c r="E40" s="14">
        <v>-30000</v>
      </c>
      <c r="F40" s="14">
        <v>-50000</v>
      </c>
      <c r="G40" s="39">
        <v>-65000</v>
      </c>
      <c r="H40" s="30">
        <v>-75000</v>
      </c>
      <c r="I40" s="30">
        <v>-85000</v>
      </c>
      <c r="J40" s="30">
        <v>-95000</v>
      </c>
    </row>
    <row r="41" spans="1:10" x14ac:dyDescent="0.2">
      <c r="A41" s="13" t="s">
        <v>159</v>
      </c>
      <c r="B41" s="14">
        <v>-2000</v>
      </c>
      <c r="C41" s="14">
        <v>-3000</v>
      </c>
      <c r="D41" s="14">
        <v>-4000</v>
      </c>
      <c r="E41" s="14">
        <v>-5000</v>
      </c>
      <c r="F41" s="14">
        <v>-6000</v>
      </c>
      <c r="G41" s="39">
        <v>-7000</v>
      </c>
      <c r="H41" s="30">
        <v>-8000</v>
      </c>
      <c r="I41" s="30">
        <v>-9000</v>
      </c>
      <c r="J41" s="30">
        <v>-10000</v>
      </c>
    </row>
    <row r="42" spans="1:10" x14ac:dyDescent="0.2">
      <c r="A42" s="19" t="s">
        <v>160</v>
      </c>
      <c r="B42" s="22">
        <f>SUM(B36:B41)</f>
        <v>16000</v>
      </c>
      <c r="C42" s="22">
        <f t="shared" ref="C42:J42" si="2">SUM(C36:C41)</f>
        <v>17000</v>
      </c>
      <c r="D42" s="22">
        <f t="shared" si="2"/>
        <v>14000</v>
      </c>
      <c r="E42" s="22">
        <f t="shared" si="2"/>
        <v>5000</v>
      </c>
      <c r="F42" s="22">
        <f t="shared" si="2"/>
        <v>793000</v>
      </c>
      <c r="G42" s="42">
        <f t="shared" si="2"/>
        <v>-761000</v>
      </c>
      <c r="H42" s="33">
        <f t="shared" si="2"/>
        <v>-28000</v>
      </c>
      <c r="I42" s="33">
        <f t="shared" si="2"/>
        <v>-34000</v>
      </c>
      <c r="J42" s="33">
        <f t="shared" si="2"/>
        <v>-40000</v>
      </c>
    </row>
    <row r="43" spans="1:10" ht="8" customHeight="1" x14ac:dyDescent="0.2">
      <c r="G43" s="41"/>
      <c r="H43" s="32"/>
      <c r="I43" s="32"/>
      <c r="J43" s="32"/>
    </row>
    <row r="44" spans="1:10" x14ac:dyDescent="0.2">
      <c r="A44" s="13" t="s">
        <v>161</v>
      </c>
      <c r="B44" s="14">
        <v>-500</v>
      </c>
      <c r="C44" s="14">
        <v>200</v>
      </c>
      <c r="D44" s="14">
        <v>-1200</v>
      </c>
      <c r="E44" s="14">
        <v>800</v>
      </c>
      <c r="F44" s="14">
        <v>-400</v>
      </c>
      <c r="G44" s="39">
        <v>-500</v>
      </c>
      <c r="H44" s="30">
        <v>-500</v>
      </c>
      <c r="I44" s="30">
        <v>-500</v>
      </c>
      <c r="J44" s="30">
        <v>-500</v>
      </c>
    </row>
    <row r="45" spans="1:10" ht="8" customHeight="1" x14ac:dyDescent="0.2">
      <c r="G45" s="41"/>
      <c r="H45" s="32"/>
      <c r="I45" s="32"/>
      <c r="J45" s="32"/>
    </row>
    <row r="46" spans="1:10" x14ac:dyDescent="0.2">
      <c r="A46" s="19" t="s">
        <v>162</v>
      </c>
      <c r="B46" s="22">
        <f>B23+B33+B42+B44</f>
        <v>-230189</v>
      </c>
      <c r="C46" s="22">
        <f t="shared" ref="C46:J46" si="3">C23+C33+C42+C44</f>
        <v>-507786</v>
      </c>
      <c r="D46" s="22">
        <f t="shared" si="3"/>
        <v>53280</v>
      </c>
      <c r="E46" s="22">
        <f t="shared" si="3"/>
        <v>-90988</v>
      </c>
      <c r="F46" s="22">
        <f t="shared" si="3"/>
        <v>1267894</v>
      </c>
      <c r="G46" s="42">
        <f t="shared" si="3"/>
        <v>179200</v>
      </c>
      <c r="H46" s="33">
        <f t="shared" si="3"/>
        <v>830609.8805242941</v>
      </c>
      <c r="I46" s="33">
        <f t="shared" si="3"/>
        <v>1173231.0438829237</v>
      </c>
      <c r="J46" s="33">
        <f t="shared" si="3"/>
        <v>1541131.9686797597</v>
      </c>
    </row>
    <row r="47" spans="1:10" x14ac:dyDescent="0.2">
      <c r="A47" s="13" t="s">
        <v>163</v>
      </c>
      <c r="B47" s="14">
        <v>215000</v>
      </c>
      <c r="C47" s="17">
        <f>B48</f>
        <v>-15189</v>
      </c>
      <c r="D47" s="17">
        <f t="shared" ref="D47:J47" si="4">C48</f>
        <v>-522975</v>
      </c>
      <c r="E47" s="17">
        <f t="shared" si="4"/>
        <v>-469695</v>
      </c>
      <c r="F47" s="17">
        <f t="shared" si="4"/>
        <v>-560683</v>
      </c>
      <c r="G47" s="49">
        <f t="shared" si="4"/>
        <v>707211</v>
      </c>
      <c r="H47" s="30">
        <f t="shared" si="4"/>
        <v>886411</v>
      </c>
      <c r="I47" s="30">
        <f t="shared" si="4"/>
        <v>1717020.880524294</v>
      </c>
      <c r="J47" s="30">
        <f t="shared" si="4"/>
        <v>2890251.9244072177</v>
      </c>
    </row>
    <row r="48" spans="1:10" ht="17" thickBot="1" x14ac:dyDescent="0.25">
      <c r="A48" s="71" t="s">
        <v>164</v>
      </c>
      <c r="B48" s="73">
        <f>B47+B46</f>
        <v>-15189</v>
      </c>
      <c r="C48" s="73">
        <f t="shared" ref="C48:J48" si="5">C47+C46</f>
        <v>-522975</v>
      </c>
      <c r="D48" s="73">
        <f t="shared" si="5"/>
        <v>-469695</v>
      </c>
      <c r="E48" s="73">
        <f t="shared" si="5"/>
        <v>-560683</v>
      </c>
      <c r="F48" s="73">
        <f t="shared" si="5"/>
        <v>707211</v>
      </c>
      <c r="G48" s="74">
        <f t="shared" si="5"/>
        <v>886411</v>
      </c>
      <c r="H48" s="104">
        <f t="shared" si="5"/>
        <v>1717020.880524294</v>
      </c>
      <c r="I48" s="104">
        <f t="shared" si="5"/>
        <v>2890251.9244072177</v>
      </c>
      <c r="J48" s="104">
        <f t="shared" si="5"/>
        <v>4431383.8930869773</v>
      </c>
    </row>
    <row r="49" spans="1:10" ht="8" customHeight="1" thickTop="1" x14ac:dyDescent="0.2">
      <c r="G49" s="41"/>
      <c r="H49" s="32"/>
      <c r="I49" s="32"/>
      <c r="J49" s="32"/>
    </row>
    <row r="50" spans="1:10" x14ac:dyDescent="0.2">
      <c r="A50" s="24" t="s">
        <v>165</v>
      </c>
      <c r="B50" s="26"/>
      <c r="C50" s="26"/>
      <c r="D50" s="26"/>
      <c r="E50" s="26"/>
      <c r="F50" s="26"/>
      <c r="G50" s="38"/>
      <c r="H50" s="26"/>
      <c r="I50" s="26"/>
      <c r="J50" s="26"/>
    </row>
    <row r="51" spans="1:10" x14ac:dyDescent="0.2">
      <c r="A51" s="13" t="s">
        <v>166</v>
      </c>
      <c r="B51" s="17">
        <f>B23</f>
        <v>155311</v>
      </c>
      <c r="C51" s="17">
        <f t="shared" ref="C51:J51" si="6">C23</f>
        <v>200014</v>
      </c>
      <c r="D51" s="17">
        <f t="shared" si="6"/>
        <v>504480</v>
      </c>
      <c r="E51" s="17">
        <f t="shared" si="6"/>
        <v>806212</v>
      </c>
      <c r="F51" s="17">
        <f t="shared" si="6"/>
        <v>1132294</v>
      </c>
      <c r="G51" s="49">
        <f t="shared" si="6"/>
        <v>1445700</v>
      </c>
      <c r="H51" s="30">
        <f t="shared" si="6"/>
        <v>1367523.9295242941</v>
      </c>
      <c r="I51" s="30">
        <f t="shared" si="6"/>
        <v>1771747.6210829236</v>
      </c>
      <c r="J51" s="30">
        <f t="shared" si="6"/>
        <v>2223367.6143837594</v>
      </c>
    </row>
    <row r="52" spans="1:10" x14ac:dyDescent="0.2">
      <c r="A52" s="13" t="s">
        <v>148</v>
      </c>
      <c r="B52" s="17">
        <f>B29</f>
        <v>-14000</v>
      </c>
      <c r="C52" s="17">
        <f t="shared" ref="C52:J52" si="7">C29</f>
        <v>-28000</v>
      </c>
      <c r="D52" s="17">
        <f t="shared" si="7"/>
        <v>-38000</v>
      </c>
      <c r="E52" s="17">
        <f t="shared" si="7"/>
        <v>-47000</v>
      </c>
      <c r="F52" s="17">
        <f t="shared" si="7"/>
        <v>-59000</v>
      </c>
      <c r="G52" s="49">
        <f t="shared" si="7"/>
        <v>-75000</v>
      </c>
      <c r="H52" s="30">
        <f t="shared" si="7"/>
        <v>-73316.754000000001</v>
      </c>
      <c r="I52" s="30">
        <f t="shared" si="7"/>
        <v>-87859.951199999981</v>
      </c>
      <c r="J52" s="30">
        <f t="shared" si="7"/>
        <v>-103540.17038399998</v>
      </c>
    </row>
    <row r="53" spans="1:10" x14ac:dyDescent="0.2">
      <c r="A53" s="13" t="s">
        <v>149</v>
      </c>
      <c r="B53" s="17">
        <f>B30</f>
        <v>-12000</v>
      </c>
      <c r="C53" s="17">
        <f t="shared" ref="C53:J53" si="8">C30</f>
        <v>-32000</v>
      </c>
      <c r="D53" s="17">
        <f t="shared" si="8"/>
        <v>-63000</v>
      </c>
      <c r="E53" s="17">
        <f t="shared" si="8"/>
        <v>-74000</v>
      </c>
      <c r="F53" s="17">
        <f t="shared" si="8"/>
        <v>-37000</v>
      </c>
      <c r="G53" s="49">
        <f t="shared" si="8"/>
        <v>-60000</v>
      </c>
      <c r="H53" s="30">
        <f t="shared" si="8"/>
        <v>-61097.294999999998</v>
      </c>
      <c r="I53" s="30">
        <f t="shared" si="8"/>
        <v>-73216.625999999989</v>
      </c>
      <c r="J53" s="30">
        <f t="shared" si="8"/>
        <v>-86283.475319999983</v>
      </c>
    </row>
    <row r="54" spans="1:10" ht="17" thickBot="1" x14ac:dyDescent="0.25">
      <c r="A54" s="71" t="s">
        <v>167</v>
      </c>
      <c r="B54" s="73">
        <f>B51+B52+B53</f>
        <v>129311</v>
      </c>
      <c r="C54" s="73">
        <f t="shared" ref="C54:J54" si="9">C51+C52+C53</f>
        <v>140014</v>
      </c>
      <c r="D54" s="73">
        <f t="shared" si="9"/>
        <v>403480</v>
      </c>
      <c r="E54" s="73">
        <f t="shared" si="9"/>
        <v>685212</v>
      </c>
      <c r="F54" s="73">
        <f t="shared" si="9"/>
        <v>1036294</v>
      </c>
      <c r="G54" s="74">
        <f t="shared" si="9"/>
        <v>1310700</v>
      </c>
      <c r="H54" s="75">
        <f t="shared" si="9"/>
        <v>1233109.8805242942</v>
      </c>
      <c r="I54" s="75">
        <f t="shared" si="9"/>
        <v>1610671.0438829237</v>
      </c>
      <c r="J54" s="75">
        <f t="shared" si="9"/>
        <v>2033543.9686797594</v>
      </c>
    </row>
    <row r="55" spans="1:10" ht="17" thickTop="1" x14ac:dyDescent="0.2">
      <c r="A55" s="72" t="s">
        <v>168</v>
      </c>
      <c r="B55" s="76">
        <f>IF('Income Statement'!B7=0,0,B54/'Income Statement'!B7)</f>
        <v>0.21443045615245321</v>
      </c>
      <c r="C55" s="76">
        <f>IF('Income Statement'!C7=0,0,C54/'Income Statement'!C7)</f>
        <v>0.15716634955913633</v>
      </c>
      <c r="D55" s="76">
        <f>IF('Income Statement'!D7=0,0,D54/'Income Statement'!D7)</f>
        <v>0.24087495373300061</v>
      </c>
      <c r="E55" s="76">
        <f>IF('Income Statement'!E7=0,0,E54/'Income Statement'!E7)</f>
        <v>0.32193306803606414</v>
      </c>
      <c r="F55" s="76">
        <f>IF('Income Statement'!F7=0,0,F54/'Income Statement'!F7)</f>
        <v>0.38605313057634494</v>
      </c>
      <c r="G55" s="77">
        <f>IF('Income Statement'!G7=0,0,G54/'Income Statement'!G7)</f>
        <v>0.38244047619047616</v>
      </c>
      <c r="H55" s="78">
        <f>IF('Income Statement'!H7=0,0,H54/'Income Statement'!H7)</f>
        <v>0.3027408694257972</v>
      </c>
      <c r="I55" s="78">
        <f>IF('Income Statement'!I7=0,0,I54/'Income Statement'!I7)</f>
        <v>0.32998059290855408</v>
      </c>
      <c r="J55" s="78">
        <f>IF('Income Statement'!J7=0,0,J54/'Income Statement'!J7)</f>
        <v>0.35352261156692122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6892-2C97-E44C-80C5-CE3030306001}">
  <dimension ref="A1:J4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6" x14ac:dyDescent="0.2"/>
  <cols>
    <col min="1" max="1" width="51.6640625" customWidth="1"/>
    <col min="2" max="10" width="17.5" customWidth="1"/>
  </cols>
  <sheetData>
    <row r="1" spans="1:10" ht="19" x14ac:dyDescent="0.25">
      <c r="A1" s="2" t="s">
        <v>169</v>
      </c>
    </row>
    <row r="2" spans="1:10" x14ac:dyDescent="0.2">
      <c r="A2" s="3" t="s">
        <v>170</v>
      </c>
    </row>
    <row r="3" spans="1:10" ht="17" thickBot="1" x14ac:dyDescent="0.25">
      <c r="A3" s="51" t="s">
        <v>209</v>
      </c>
      <c r="B3" s="52" t="s">
        <v>2</v>
      </c>
      <c r="C3" s="52" t="s">
        <v>3</v>
      </c>
      <c r="D3" s="52" t="s">
        <v>4</v>
      </c>
      <c r="E3" s="52" t="s">
        <v>5</v>
      </c>
      <c r="F3" s="52" t="s">
        <v>6</v>
      </c>
      <c r="G3" s="53" t="s">
        <v>7</v>
      </c>
      <c r="H3" s="52" t="s">
        <v>8</v>
      </c>
      <c r="I3" s="52" t="s">
        <v>9</v>
      </c>
      <c r="J3" s="52" t="s">
        <v>10</v>
      </c>
    </row>
    <row r="4" spans="1:10" x14ac:dyDescent="0.2">
      <c r="A4" s="24" t="s">
        <v>171</v>
      </c>
      <c r="B4" s="26"/>
      <c r="C4" s="26"/>
      <c r="D4" s="26"/>
      <c r="E4" s="26"/>
      <c r="F4" s="26"/>
      <c r="G4" s="38"/>
      <c r="H4" s="26"/>
      <c r="I4" s="26"/>
      <c r="J4" s="26"/>
    </row>
    <row r="5" spans="1:10" x14ac:dyDescent="0.2">
      <c r="A5" t="s">
        <v>172</v>
      </c>
      <c r="B5" s="9">
        <v>14800</v>
      </c>
      <c r="C5" s="9">
        <v>18800</v>
      </c>
      <c r="D5" s="9">
        <v>23200</v>
      </c>
      <c r="E5" s="9">
        <v>26800</v>
      </c>
      <c r="F5" s="9">
        <v>30000</v>
      </c>
      <c r="G5" s="82">
        <v>32700</v>
      </c>
      <c r="H5" s="35">
        <v>36000</v>
      </c>
      <c r="I5" s="35">
        <v>39500</v>
      </c>
      <c r="J5" s="35">
        <v>43000</v>
      </c>
    </row>
    <row r="6" spans="1:10" x14ac:dyDescent="0.2">
      <c r="A6" t="s">
        <v>173</v>
      </c>
      <c r="B6" s="9">
        <v>1015</v>
      </c>
      <c r="C6" s="9">
        <v>1570</v>
      </c>
      <c r="D6" s="9">
        <v>2420</v>
      </c>
      <c r="E6" s="9">
        <v>3190</v>
      </c>
      <c r="F6" s="9">
        <v>3610</v>
      </c>
      <c r="G6" s="82">
        <v>4370</v>
      </c>
      <c r="H6" s="35">
        <v>5200</v>
      </c>
      <c r="I6" s="35">
        <v>6100</v>
      </c>
      <c r="J6" s="35">
        <v>7100</v>
      </c>
    </row>
    <row r="7" spans="1:10" x14ac:dyDescent="0.2">
      <c r="A7" t="s">
        <v>174</v>
      </c>
      <c r="B7" s="9">
        <v>0</v>
      </c>
      <c r="C7" s="9">
        <v>148</v>
      </c>
      <c r="D7" s="9">
        <v>216</v>
      </c>
      <c r="E7" s="9">
        <v>396</v>
      </c>
      <c r="F7" s="9">
        <v>462</v>
      </c>
      <c r="G7" s="82">
        <v>603</v>
      </c>
      <c r="H7" s="35">
        <v>770</v>
      </c>
      <c r="I7" s="35">
        <v>960</v>
      </c>
      <c r="J7" s="35">
        <v>1180</v>
      </c>
    </row>
    <row r="8" spans="1:10" x14ac:dyDescent="0.2">
      <c r="A8" t="s">
        <v>175</v>
      </c>
      <c r="B8" s="7"/>
      <c r="C8" s="7">
        <f>IF(B6=0,0,C6/B6-1)</f>
        <v>0.54679802955665036</v>
      </c>
      <c r="D8" s="7">
        <f t="shared" ref="D8:J8" si="0">IF(C6=0,0,D6/C6-1)</f>
        <v>0.54140127388535042</v>
      </c>
      <c r="E8" s="7">
        <f t="shared" si="0"/>
        <v>0.31818181818181812</v>
      </c>
      <c r="F8" s="7">
        <f t="shared" si="0"/>
        <v>0.13166144200626961</v>
      </c>
      <c r="G8" s="70">
        <f t="shared" si="0"/>
        <v>0.21052631578947367</v>
      </c>
      <c r="H8" s="37">
        <f t="shared" si="0"/>
        <v>0.18993135011441642</v>
      </c>
      <c r="I8" s="37">
        <f t="shared" si="0"/>
        <v>0.17307692307692313</v>
      </c>
      <c r="J8" s="37">
        <f t="shared" si="0"/>
        <v>0.16393442622950816</v>
      </c>
    </row>
    <row r="9" spans="1:10" x14ac:dyDescent="0.2">
      <c r="A9" t="s">
        <v>176</v>
      </c>
      <c r="B9" s="7"/>
      <c r="C9" s="7"/>
      <c r="D9" s="7">
        <f>IF(C7=0,0,D7/C7-1)</f>
        <v>0.45945945945945943</v>
      </c>
      <c r="E9" s="7">
        <f t="shared" ref="E9:J9" si="1">IF(D7=0,0,E7/D7-1)</f>
        <v>0.83333333333333326</v>
      </c>
      <c r="F9" s="7">
        <f t="shared" si="1"/>
        <v>0.16666666666666674</v>
      </c>
      <c r="G9" s="70">
        <f t="shared" si="1"/>
        <v>0.30519480519480524</v>
      </c>
      <c r="H9" s="37">
        <f t="shared" si="1"/>
        <v>0.27694859038142616</v>
      </c>
      <c r="I9" s="37">
        <f t="shared" si="1"/>
        <v>0.24675324675324672</v>
      </c>
      <c r="J9" s="37">
        <f t="shared" si="1"/>
        <v>0.22916666666666674</v>
      </c>
    </row>
    <row r="10" spans="1:10" x14ac:dyDescent="0.2">
      <c r="A10" t="s">
        <v>177</v>
      </c>
      <c r="B10" t="s">
        <v>178</v>
      </c>
      <c r="C10" t="s">
        <v>178</v>
      </c>
      <c r="D10" t="s">
        <v>178</v>
      </c>
      <c r="E10" t="s">
        <v>179</v>
      </c>
      <c r="F10" t="s">
        <v>180</v>
      </c>
      <c r="G10" s="83">
        <v>1.2</v>
      </c>
      <c r="H10" s="79">
        <v>1.18</v>
      </c>
      <c r="I10" s="79">
        <v>1.1599999999999999</v>
      </c>
      <c r="J10" s="79">
        <v>1.1499999999999999</v>
      </c>
    </row>
    <row r="11" spans="1:10" x14ac:dyDescent="0.2">
      <c r="G11" s="41"/>
      <c r="H11" s="32"/>
      <c r="I11" s="32"/>
      <c r="J11" s="32"/>
    </row>
    <row r="12" spans="1:10" x14ac:dyDescent="0.2">
      <c r="A12" s="24" t="s">
        <v>181</v>
      </c>
      <c r="B12" s="26"/>
      <c r="C12" s="26"/>
      <c r="D12" s="26"/>
      <c r="E12" s="26"/>
      <c r="F12" s="26"/>
      <c r="G12" s="38"/>
      <c r="H12" s="26"/>
      <c r="I12" s="26"/>
      <c r="J12" s="26"/>
    </row>
    <row r="13" spans="1:10" x14ac:dyDescent="0.2">
      <c r="A13" t="s">
        <v>182</v>
      </c>
      <c r="B13" s="6">
        <f>'Income Statement'!B7</f>
        <v>603044</v>
      </c>
      <c r="C13" s="6">
        <f>'Income Statement'!C7</f>
        <v>890865</v>
      </c>
      <c r="D13" s="6">
        <f>'Income Statement'!D7</f>
        <v>1675060</v>
      </c>
      <c r="E13" s="6">
        <f>'Income Statement'!E7</f>
        <v>2128430</v>
      </c>
      <c r="F13" s="6">
        <f>'Income Statement'!F7</f>
        <v>2684330</v>
      </c>
      <c r="G13" s="84">
        <f>'Income Statement'!G7</f>
        <v>3427200</v>
      </c>
      <c r="H13" s="35">
        <f>'Income Statement'!H7</f>
        <v>4073153</v>
      </c>
      <c r="I13" s="35">
        <f>'Income Statement'!I7</f>
        <v>4881108.3999999994</v>
      </c>
      <c r="J13" s="35">
        <f>'Income Statement'!J7</f>
        <v>5752231.6879999992</v>
      </c>
    </row>
    <row r="14" spans="1:10" x14ac:dyDescent="0.2">
      <c r="A14" t="s">
        <v>78</v>
      </c>
      <c r="B14" s="7"/>
      <c r="C14" s="7">
        <f>IF(B13=0,0,C13/B13-1)</f>
        <v>0.47728026478996566</v>
      </c>
      <c r="D14" s="7">
        <f t="shared" ref="D14:J14" si="2">IF(C13=0,0,D13/C13-1)</f>
        <v>0.88026244155960787</v>
      </c>
      <c r="E14" s="7">
        <f t="shared" si="2"/>
        <v>0.27065896147003699</v>
      </c>
      <c r="F14" s="7">
        <f t="shared" si="2"/>
        <v>0.26117842729147767</v>
      </c>
      <c r="G14" s="70">
        <f t="shared" si="2"/>
        <v>0.27674317241173774</v>
      </c>
      <c r="H14" s="37">
        <f t="shared" si="2"/>
        <v>0.18847834967320254</v>
      </c>
      <c r="I14" s="37">
        <f t="shared" si="2"/>
        <v>0.19836117130881159</v>
      </c>
      <c r="J14" s="37">
        <f t="shared" si="2"/>
        <v>0.17846833477412627</v>
      </c>
    </row>
    <row r="15" spans="1:10" x14ac:dyDescent="0.2">
      <c r="A15" t="s">
        <v>183</v>
      </c>
      <c r="B15" s="11">
        <f>IF(B5=0,0,B13/B5*1000)</f>
        <v>40746.21621621622</v>
      </c>
      <c r="C15" s="11">
        <f t="shared" ref="C15:J15" si="3">IF(C5=0,0,C13/C5*1000)</f>
        <v>47386.436170212772</v>
      </c>
      <c r="D15" s="11">
        <f t="shared" si="3"/>
        <v>72200.862068965522</v>
      </c>
      <c r="E15" s="11">
        <f t="shared" si="3"/>
        <v>79419.029850746272</v>
      </c>
      <c r="F15" s="11">
        <f t="shared" si="3"/>
        <v>89477.666666666657</v>
      </c>
      <c r="G15" s="85">
        <f t="shared" si="3"/>
        <v>104807.33944954129</v>
      </c>
      <c r="H15" s="80">
        <f t="shared" si="3"/>
        <v>113143.13888888889</v>
      </c>
      <c r="I15" s="80">
        <f t="shared" si="3"/>
        <v>123572.36455696201</v>
      </c>
      <c r="J15" s="80">
        <f t="shared" si="3"/>
        <v>133772.82995348834</v>
      </c>
    </row>
    <row r="16" spans="1:10" x14ac:dyDescent="0.2">
      <c r="A16" t="s">
        <v>184</v>
      </c>
      <c r="B16" s="6">
        <f>IF(B6=0,0,B13/B6)</f>
        <v>594.13201970443345</v>
      </c>
      <c r="C16" s="6">
        <f t="shared" ref="C16:J16" si="4">IF(C6=0,0,C13/C6)</f>
        <v>567.42993630573244</v>
      </c>
      <c r="D16" s="6">
        <f t="shared" si="4"/>
        <v>692.17355371900828</v>
      </c>
      <c r="E16" s="6">
        <f t="shared" si="4"/>
        <v>667.21943573667716</v>
      </c>
      <c r="F16" s="6">
        <f t="shared" si="4"/>
        <v>743.58171745152356</v>
      </c>
      <c r="G16" s="84">
        <f t="shared" si="4"/>
        <v>784.25629290617849</v>
      </c>
      <c r="H16" s="35">
        <f t="shared" si="4"/>
        <v>783.2986538461538</v>
      </c>
      <c r="I16" s="35">
        <f t="shared" si="4"/>
        <v>800.18170491803266</v>
      </c>
      <c r="J16" s="35">
        <f t="shared" si="4"/>
        <v>810.1734771830985</v>
      </c>
    </row>
    <row r="17" spans="1:10" x14ac:dyDescent="0.2">
      <c r="A17" t="s">
        <v>185</v>
      </c>
      <c r="B17" s="7">
        <f>IF('Income Statement'!B7=0,0,'Income Statement'!B5/'Income Statement'!B7)</f>
        <v>1</v>
      </c>
      <c r="C17" s="7">
        <f>IF('Income Statement'!C7=0,0,'Income Statement'!C5/'Income Statement'!C7)</f>
        <v>0.99350294376813542</v>
      </c>
      <c r="D17" s="7">
        <f>IF('Income Statement'!D7=0,0,'Income Statement'!D5/'Income Statement'!D7)</f>
        <v>0.80696691461798387</v>
      </c>
      <c r="E17" s="7">
        <f>IF('Income Statement'!E7=0,0,'Income Statement'!E5/'Income Statement'!E7)</f>
        <v>0.97540252674506556</v>
      </c>
      <c r="F17" s="7">
        <f>IF('Income Statement'!F7=0,0,'Income Statement'!F5/'Income Statement'!F7)</f>
        <v>0.97711756751219114</v>
      </c>
      <c r="G17" s="70">
        <f>IF('Income Statement'!G7=0,0,'Income Statement'!G5/'Income Statement'!G7)</f>
        <v>0.97826213818860874</v>
      </c>
      <c r="H17" s="37">
        <f>IF('Income Statement'!H7=0,0,'Income Statement'!H5/'Income Statement'!H7)</f>
        <v>0.97951464136014532</v>
      </c>
      <c r="I17" s="37">
        <f>IF('Income Statement'!I7=0,0,'Income Statement'!I5/'Income Statement'!I7)</f>
        <v>0.98085418467657881</v>
      </c>
      <c r="J17" s="37">
        <f>IF('Income Statement'!J7=0,0,'Income Statement'!J5/'Income Statement'!J7)</f>
        <v>0.98212900912624013</v>
      </c>
    </row>
    <row r="18" spans="1:10" x14ac:dyDescent="0.2">
      <c r="A18" t="s">
        <v>186</v>
      </c>
      <c r="B18" s="10">
        <v>0.28000000000000003</v>
      </c>
      <c r="C18" s="10">
        <v>0.28000000000000003</v>
      </c>
      <c r="D18" s="10">
        <v>0.28999999999999998</v>
      </c>
      <c r="E18" s="10">
        <v>0.3</v>
      </c>
      <c r="F18" s="10">
        <v>0.3</v>
      </c>
      <c r="G18" s="83">
        <v>0.31</v>
      </c>
      <c r="H18" s="79">
        <v>0.32</v>
      </c>
      <c r="I18" s="79">
        <v>0.33</v>
      </c>
      <c r="J18" s="79">
        <v>0.34</v>
      </c>
    </row>
    <row r="19" spans="1:10" x14ac:dyDescent="0.2">
      <c r="G19" s="41"/>
      <c r="H19" s="32"/>
      <c r="I19" s="32"/>
      <c r="J19" s="32"/>
    </row>
    <row r="20" spans="1:10" x14ac:dyDescent="0.2">
      <c r="A20" s="24" t="s">
        <v>187</v>
      </c>
      <c r="B20" s="26"/>
      <c r="C20" s="26"/>
      <c r="D20" s="26"/>
      <c r="E20" s="26"/>
      <c r="F20" s="26"/>
      <c r="G20" s="38"/>
      <c r="H20" s="26"/>
      <c r="I20" s="26"/>
      <c r="J20" s="26"/>
    </row>
    <row r="21" spans="1:10" x14ac:dyDescent="0.2">
      <c r="A21" t="s">
        <v>188</v>
      </c>
      <c r="B21" s="9">
        <v>2000</v>
      </c>
      <c r="C21" s="9">
        <v>3200</v>
      </c>
      <c r="D21" s="9">
        <v>4600</v>
      </c>
      <c r="E21" s="9">
        <v>5200</v>
      </c>
      <c r="F21" s="9">
        <v>5600</v>
      </c>
      <c r="G21" s="82">
        <v>6400</v>
      </c>
      <c r="H21" s="35">
        <v>7200</v>
      </c>
      <c r="I21" s="35">
        <v>8000</v>
      </c>
      <c r="J21" s="35">
        <v>8800</v>
      </c>
    </row>
    <row r="22" spans="1:10" x14ac:dyDescent="0.2">
      <c r="A22" t="s">
        <v>189</v>
      </c>
      <c r="B22" s="6">
        <f>IF(B21=0,0,B13/B21)</f>
        <v>301.52199999999999</v>
      </c>
      <c r="C22" s="6">
        <f t="shared" ref="C22:J22" si="5">IF(C21=0,0,C13/C21)</f>
        <v>278.39531249999999</v>
      </c>
      <c r="D22" s="6">
        <f t="shared" si="5"/>
        <v>364.14347826086959</v>
      </c>
      <c r="E22" s="6">
        <f t="shared" si="5"/>
        <v>409.31346153846152</v>
      </c>
      <c r="F22" s="6">
        <f t="shared" si="5"/>
        <v>479.34464285714284</v>
      </c>
      <c r="G22" s="84">
        <f t="shared" si="5"/>
        <v>535.5</v>
      </c>
      <c r="H22" s="35">
        <f t="shared" si="5"/>
        <v>565.71569444444447</v>
      </c>
      <c r="I22" s="35">
        <f t="shared" si="5"/>
        <v>610.1385499999999</v>
      </c>
      <c r="J22" s="35">
        <f t="shared" si="5"/>
        <v>653.66269181818177</v>
      </c>
    </row>
    <row r="23" spans="1:10" x14ac:dyDescent="0.2">
      <c r="A23" t="s">
        <v>190</v>
      </c>
      <c r="B23" s="10">
        <v>0.6</v>
      </c>
      <c r="C23" s="10">
        <v>0.72</v>
      </c>
      <c r="D23" s="10">
        <v>0.78</v>
      </c>
      <c r="E23" s="10">
        <v>0.82</v>
      </c>
      <c r="F23" s="10">
        <v>0.83</v>
      </c>
      <c r="G23" s="83">
        <v>0.85</v>
      </c>
      <c r="H23" s="79">
        <v>0.86</v>
      </c>
      <c r="I23" s="79">
        <v>0.87</v>
      </c>
      <c r="J23" s="79">
        <v>0.88</v>
      </c>
    </row>
    <row r="24" spans="1:10" x14ac:dyDescent="0.2">
      <c r="A24" t="s">
        <v>191</v>
      </c>
      <c r="B24" s="10">
        <v>0.22</v>
      </c>
      <c r="C24" s="10">
        <v>0.33</v>
      </c>
      <c r="D24" s="10">
        <v>0.39</v>
      </c>
      <c r="E24" s="10">
        <v>0.47</v>
      </c>
      <c r="F24" s="10">
        <v>0.49</v>
      </c>
      <c r="G24" s="83">
        <v>0.51</v>
      </c>
      <c r="H24" s="79">
        <v>0.54</v>
      </c>
      <c r="I24" s="79">
        <v>0.56000000000000005</v>
      </c>
      <c r="J24" s="79">
        <v>0.57999999999999996</v>
      </c>
    </row>
    <row r="25" spans="1:10" x14ac:dyDescent="0.2">
      <c r="A25" t="s">
        <v>192</v>
      </c>
      <c r="D25" s="10">
        <v>0.18</v>
      </c>
      <c r="E25" s="10">
        <v>0.26</v>
      </c>
      <c r="F25" s="10">
        <v>0.28000000000000003</v>
      </c>
      <c r="G25" s="83">
        <v>0.3</v>
      </c>
      <c r="H25" s="79">
        <v>0.33</v>
      </c>
      <c r="I25" s="79">
        <v>0.35</v>
      </c>
      <c r="J25" s="79">
        <v>0.37</v>
      </c>
    </row>
    <row r="26" spans="1:10" x14ac:dyDescent="0.2">
      <c r="G26" s="41"/>
      <c r="H26" s="32"/>
      <c r="I26" s="32"/>
      <c r="J26" s="32"/>
    </row>
    <row r="27" spans="1:10" x14ac:dyDescent="0.2">
      <c r="A27" s="24" t="s">
        <v>193</v>
      </c>
      <c r="B27" s="26"/>
      <c r="C27" s="26"/>
      <c r="D27" s="26"/>
      <c r="E27" s="26"/>
      <c r="F27" s="26"/>
      <c r="G27" s="38"/>
      <c r="H27" s="26"/>
      <c r="I27" s="26"/>
      <c r="J27" s="26"/>
    </row>
    <row r="28" spans="1:10" x14ac:dyDescent="0.2">
      <c r="A28" t="s">
        <v>194</v>
      </c>
      <c r="B28" s="7">
        <f>'Income Statement'!B79</f>
        <v>0.73302113941934588</v>
      </c>
      <c r="C28" s="7">
        <f>'Income Statement'!C79</f>
        <v>0.74406896667845301</v>
      </c>
      <c r="D28" s="7">
        <f>'Income Statement'!D79</f>
        <v>0.76836650627440206</v>
      </c>
      <c r="E28" s="7">
        <f>'Income Statement'!E79</f>
        <v>0.77401183031624254</v>
      </c>
      <c r="F28" s="7">
        <f>'Income Statement'!F79</f>
        <v>0.79115831511028822</v>
      </c>
      <c r="G28" s="70">
        <f>'Income Statement'!G79</f>
        <v>0.80202497665732964</v>
      </c>
      <c r="H28" s="37">
        <f>'Income Statement'!H79</f>
        <v>0.79841760989582278</v>
      </c>
      <c r="I28" s="37">
        <f>'Income Statement'!I79</f>
        <v>0.81289010364940872</v>
      </c>
      <c r="J28" s="37">
        <f>'Income Statement'!J79</f>
        <v>0.82178986042955782</v>
      </c>
    </row>
    <row r="29" spans="1:10" x14ac:dyDescent="0.2">
      <c r="A29" t="s">
        <v>195</v>
      </c>
      <c r="B29" s="7">
        <f>IF('Income Statement'!B7=0,0,('Income Statement'!B18+'Income Statement'!B13+'Income Statement'!B14)/'Income Statement'!B7)</f>
        <v>0.75104138338164383</v>
      </c>
      <c r="C29" s="7">
        <f>IF('Income Statement'!C7=0,0,('Income Statement'!C18+'Income Statement'!C13+'Income Statement'!C14)/'Income Statement'!C7)</f>
        <v>0.76500255369781056</v>
      </c>
      <c r="D29" s="7">
        <f>IF('Income Statement'!D7=0,0,('Income Statement'!D18+'Income Statement'!D13+'Income Statement'!D14)/'Income Statement'!D7)</f>
        <v>0.79148209616371956</v>
      </c>
      <c r="E29" s="7">
        <f>IF('Income Statement'!E7=0,0,('Income Statement'!E18+'Income Statement'!E13+'Income Statement'!E14)/'Income Statement'!E7)</f>
        <v>0.79721296918385853</v>
      </c>
      <c r="F29" s="7">
        <f>IF('Income Statement'!F7=0,0,('Income Statement'!F18+'Income Statement'!F13+'Income Statement'!F14)/'Income Statement'!F7)</f>
        <v>0.81424191511475863</v>
      </c>
      <c r="G29" s="70">
        <f>IF('Income Statement'!G7=0,0,('Income Statement'!G18+'Income Statement'!G13+'Income Statement'!G14)/'Income Statement'!G7)</f>
        <v>0.82478408029878614</v>
      </c>
      <c r="H29" s="37">
        <f>IF('Income Statement'!H7=0,0,('Income Statement'!H18+'Income Statement'!H13+'Income Statement'!H14)/'Income Statement'!H7)</f>
        <v>0.82003797623119001</v>
      </c>
      <c r="I29" s="37">
        <f>IF('Income Statement'!I7=0,0,('Income Statement'!I18+'Income Statement'!I13+'Income Statement'!I14)/'Income Statement'!I7)</f>
        <v>0.83330986314501831</v>
      </c>
      <c r="J29" s="37">
        <f>IF('Income Statement'!J7=0,0,('Income Statement'!J18+'Income Statement'!J13+'Income Statement'!J14)/'Income Statement'!J7)</f>
        <v>0.8409946102337873</v>
      </c>
    </row>
    <row r="30" spans="1:10" x14ac:dyDescent="0.2">
      <c r="A30" t="s">
        <v>75</v>
      </c>
      <c r="B30" s="7">
        <f>'Income Statement'!B83</f>
        <v>-3.2435444179860838E-3</v>
      </c>
      <c r="C30" s="7">
        <f>'Income Statement'!C83</f>
        <v>-1.0254078900843563E-2</v>
      </c>
      <c r="D30" s="7">
        <f>'Income Statement'!D83</f>
        <v>9.1375831313505185E-2</v>
      </c>
      <c r="E30" s="7">
        <f>'Income Statement'!E83</f>
        <v>7.3495487284054445E-2</v>
      </c>
      <c r="F30" s="7">
        <f>'Income Statement'!F83</f>
        <v>9.0424798739350234E-2</v>
      </c>
      <c r="G30" s="70">
        <f>'Income Statement'!G83</f>
        <v>0.11079014939309056</v>
      </c>
      <c r="H30" s="37">
        <f>'Income Statement'!H83</f>
        <v>-9.1510201024120497E-2</v>
      </c>
      <c r="I30" s="37">
        <f>'Income Statement'!I83</f>
        <v>-3.0504145074426302E-2</v>
      </c>
      <c r="J30" s="37">
        <f>'Income Statement'!J83</f>
        <v>2.802349946186658E-2</v>
      </c>
    </row>
    <row r="31" spans="1:10" x14ac:dyDescent="0.2">
      <c r="A31" t="s">
        <v>76</v>
      </c>
      <c r="B31" s="7">
        <f>'Income Statement'!B84</f>
        <v>0.16401954086268997</v>
      </c>
      <c r="C31" s="7">
        <f>'Income Statement'!C84</f>
        <v>0.19028023325644178</v>
      </c>
      <c r="D31" s="7">
        <f>'Income Statement'!D84</f>
        <v>0.30552935417238786</v>
      </c>
      <c r="E31" s="7">
        <f>'Income Statement'!E84</f>
        <v>0.31422785809258469</v>
      </c>
      <c r="F31" s="7">
        <f>'Income Statement'!F84</f>
        <v>0.33926305633062998</v>
      </c>
      <c r="G31" s="70">
        <f>'Income Statement'!G84</f>
        <v>0.3576388888888889</v>
      </c>
      <c r="H31" s="37">
        <f>'Income Statement'!H84</f>
        <v>0.21135416531124665</v>
      </c>
      <c r="I31" s="37">
        <f>'Income Statement'!I84</f>
        <v>0.25702961442118338</v>
      </c>
      <c r="J31" s="37">
        <f>'Income Statement'!J84</f>
        <v>0.29757824926609594</v>
      </c>
    </row>
    <row r="32" spans="1:10" x14ac:dyDescent="0.2">
      <c r="A32" t="s">
        <v>77</v>
      </c>
      <c r="B32" s="7">
        <f>'Income Statement'!B85</f>
        <v>-1.5348797102698973E-2</v>
      </c>
      <c r="C32" s="7">
        <f>'Income Statement'!C85</f>
        <v>-2.5632390990778624E-2</v>
      </c>
      <c r="D32" s="7">
        <f>'Income Statement'!D85</f>
        <v>7.848077083805953E-2</v>
      </c>
      <c r="E32" s="7">
        <f>'Income Statement'!E85</f>
        <v>0.10534995278209761</v>
      </c>
      <c r="F32" s="7">
        <f>'Income Statement'!F85</f>
        <v>0.1494339369600608</v>
      </c>
      <c r="G32" s="70">
        <f>'Income Statement'!G85</f>
        <v>0.1545576563958917</v>
      </c>
      <c r="H32" s="37">
        <f>'Income Statement'!H85</f>
        <v>-4.8159656128488049E-2</v>
      </c>
      <c r="I32" s="37">
        <f>'Income Statement'!I85</f>
        <v>2.0867808565479162E-3</v>
      </c>
      <c r="J32" s="37">
        <f>'Income Statement'!J85</f>
        <v>5.0011175538057347E-2</v>
      </c>
    </row>
    <row r="33" spans="1:10" x14ac:dyDescent="0.2">
      <c r="A33" t="s">
        <v>168</v>
      </c>
      <c r="B33" s="7">
        <f>'Cash Flow'!B55</f>
        <v>0.21443045615245321</v>
      </c>
      <c r="C33" s="7">
        <f>'Cash Flow'!C55</f>
        <v>0.15716634955913633</v>
      </c>
      <c r="D33" s="7">
        <f>'Cash Flow'!D55</f>
        <v>0.24087495373300061</v>
      </c>
      <c r="E33" s="7">
        <f>'Cash Flow'!E55</f>
        <v>0.32193306803606414</v>
      </c>
      <c r="F33" s="7">
        <f>'Cash Flow'!F55</f>
        <v>0.38605313057634494</v>
      </c>
      <c r="G33" s="70">
        <f>'Cash Flow'!G55</f>
        <v>0.38244047619047616</v>
      </c>
      <c r="H33" s="37">
        <f>'Cash Flow'!H55</f>
        <v>0.3027408694257972</v>
      </c>
      <c r="I33" s="37">
        <f>'Cash Flow'!I55</f>
        <v>0.32998059290855408</v>
      </c>
      <c r="J33" s="37">
        <f>'Cash Flow'!J55</f>
        <v>0.35352261156692122</v>
      </c>
    </row>
    <row r="34" spans="1:10" x14ac:dyDescent="0.2">
      <c r="G34" s="41"/>
      <c r="H34" s="32"/>
      <c r="I34" s="32"/>
      <c r="J34" s="32"/>
    </row>
    <row r="35" spans="1:10" x14ac:dyDescent="0.2">
      <c r="A35" s="24" t="s">
        <v>196</v>
      </c>
      <c r="B35" s="26"/>
      <c r="C35" s="26"/>
      <c r="D35" s="26"/>
      <c r="E35" s="26"/>
      <c r="F35" s="26"/>
      <c r="G35" s="38"/>
      <c r="H35" s="26"/>
      <c r="I35" s="26"/>
      <c r="J35" s="26"/>
    </row>
    <row r="36" spans="1:10" x14ac:dyDescent="0.2">
      <c r="A36" t="s">
        <v>197</v>
      </c>
      <c r="B36" s="6">
        <f>'Income Statement'!B69</f>
        <v>91567</v>
      </c>
      <c r="C36" s="6">
        <f>'Income Statement'!C69</f>
        <v>161849</v>
      </c>
      <c r="D36" s="6">
        <f>'Income Statement'!D69</f>
        <v>340020</v>
      </c>
      <c r="E36" s="6">
        <f>'Income Statement'!E69</f>
        <v>488982</v>
      </c>
      <c r="F36" s="6">
        <f>'Income Statement'!F69</f>
        <v>636164</v>
      </c>
      <c r="G36" s="84">
        <f>'Income Statement'!G69</f>
        <v>805000</v>
      </c>
      <c r="H36" s="35">
        <f>'Income Statement'!H69</f>
        <v>1175104.6404999997</v>
      </c>
      <c r="I36" s="35">
        <f>'Income Statement'!I69</f>
        <v>1337423.7016</v>
      </c>
      <c r="J36" s="35">
        <f>'Income Statement'!J69</f>
        <v>1478323.5438159998</v>
      </c>
    </row>
    <row r="37" spans="1:10" x14ac:dyDescent="0.2">
      <c r="A37" t="s">
        <v>198</v>
      </c>
      <c r="B37" s="7">
        <f>IF('Income Statement'!B7=0,0,B36/'Income Statement'!B7)</f>
        <v>0.15184132501111031</v>
      </c>
      <c r="C37" s="7">
        <f>IF('Income Statement'!C7=0,0,C36/'Income Statement'!C7)</f>
        <v>0.18167623601780292</v>
      </c>
      <c r="D37" s="7">
        <f>IF('Income Statement'!D7=0,0,D36/'Income Statement'!D7)</f>
        <v>0.20298974365097369</v>
      </c>
      <c r="E37" s="7">
        <f>IF('Income Statement'!E7=0,0,E36/'Income Statement'!E7)</f>
        <v>0.22973835174283391</v>
      </c>
      <c r="F37" s="7">
        <f>IF('Income Statement'!F7=0,0,F36/'Income Statement'!F7)</f>
        <v>0.23699172605454619</v>
      </c>
      <c r="G37" s="70">
        <f>IF('Income Statement'!G7=0,0,G36/'Income Statement'!G7)</f>
        <v>0.23488562091503268</v>
      </c>
      <c r="H37" s="37">
        <f>IF('Income Statement'!H7=0,0,H36/'Income Statement'!H7)</f>
        <v>0.28849999999999992</v>
      </c>
      <c r="I37" s="37">
        <f>IF('Income Statement'!I7=0,0,I36/'Income Statement'!I7)</f>
        <v>0.27400000000000002</v>
      </c>
      <c r="J37" s="37">
        <f>IF('Income Statement'!J7=0,0,J36/'Income Statement'!J7)</f>
        <v>0.25700000000000001</v>
      </c>
    </row>
    <row r="38" spans="1:10" x14ac:dyDescent="0.2">
      <c r="A38" t="s">
        <v>199</v>
      </c>
      <c r="B38" s="6">
        <f>IF(B21=0,0,B36/B21)</f>
        <v>45.783499999999997</v>
      </c>
      <c r="C38" s="6">
        <f t="shared" ref="C38:J38" si="6">IF(C21=0,0,C36/C21)</f>
        <v>50.5778125</v>
      </c>
      <c r="D38" s="6">
        <f t="shared" si="6"/>
        <v>73.917391304347831</v>
      </c>
      <c r="E38" s="6">
        <f t="shared" si="6"/>
        <v>94.034999999999997</v>
      </c>
      <c r="F38" s="6">
        <f t="shared" si="6"/>
        <v>113.60071428571429</v>
      </c>
      <c r="G38" s="84">
        <f t="shared" si="6"/>
        <v>125.78125</v>
      </c>
      <c r="H38" s="35">
        <f t="shared" si="6"/>
        <v>163.2089778472222</v>
      </c>
      <c r="I38" s="35">
        <f t="shared" si="6"/>
        <v>167.17796269999999</v>
      </c>
      <c r="J38" s="35">
        <f t="shared" si="6"/>
        <v>167.99131179727269</v>
      </c>
    </row>
    <row r="39" spans="1:10" x14ac:dyDescent="0.2">
      <c r="G39" s="41"/>
      <c r="H39" s="32"/>
      <c r="I39" s="32"/>
      <c r="J39" s="32"/>
    </row>
    <row r="40" spans="1:10" x14ac:dyDescent="0.2">
      <c r="A40" s="24" t="s">
        <v>200</v>
      </c>
      <c r="B40" s="26"/>
      <c r="C40" s="26"/>
      <c r="D40" s="26"/>
      <c r="E40" s="26"/>
      <c r="F40" s="26"/>
      <c r="G40" s="38"/>
      <c r="H40" s="26"/>
      <c r="I40" s="26"/>
      <c r="J40" s="26"/>
    </row>
    <row r="41" spans="1:10" x14ac:dyDescent="0.2">
      <c r="A41" t="s">
        <v>201</v>
      </c>
      <c r="B41" s="6">
        <f>'Balance Sheet'!B5+'Balance Sheet'!B6+'Balance Sheet'!B13</f>
        <v>1216600</v>
      </c>
      <c r="C41" s="6">
        <f>'Balance Sheet'!C5+'Balance Sheet'!C6+'Balance Sheet'!C13</f>
        <v>1817700</v>
      </c>
      <c r="D41" s="6">
        <f>'Balance Sheet'!D5+'Balance Sheet'!D6+'Balance Sheet'!D13</f>
        <v>2001500</v>
      </c>
      <c r="E41" s="6">
        <f>'Balance Sheet'!E5+'Balance Sheet'!E6+'Balance Sheet'!E13</f>
        <v>2672100</v>
      </c>
      <c r="F41" s="6">
        <f>'Balance Sheet'!F5+'Balance Sheet'!F6+'Balance Sheet'!F13</f>
        <v>4165900</v>
      </c>
      <c r="G41" s="84">
        <f>'Balance Sheet'!G5+'Balance Sheet'!G6+'Balance Sheet'!G13</f>
        <v>3980000</v>
      </c>
      <c r="H41" s="35">
        <f>'Balance Sheet'!H5+'Balance Sheet'!H6+'Balance Sheet'!H13</f>
        <v>5117020.8805242945</v>
      </c>
      <c r="I41" s="35">
        <f>'Balance Sheet'!I5+'Balance Sheet'!I6+'Balance Sheet'!I13</f>
        <v>6490251.9244072177</v>
      </c>
      <c r="J41" s="35">
        <f>'Balance Sheet'!J5+'Balance Sheet'!J6+'Balance Sheet'!J13</f>
        <v>8231383.8930869773</v>
      </c>
    </row>
    <row r="42" spans="1:10" x14ac:dyDescent="0.2">
      <c r="A42" t="s">
        <v>202</v>
      </c>
      <c r="B42" s="6">
        <f>'Balance Sheet'!B31+'Balance Sheet'!B37</f>
        <v>739000</v>
      </c>
      <c r="C42" s="6">
        <f>'Balance Sheet'!C31+'Balance Sheet'!C37</f>
        <v>739000</v>
      </c>
      <c r="D42" s="6">
        <f>'Balance Sheet'!D31+'Balance Sheet'!D37</f>
        <v>739000</v>
      </c>
      <c r="E42" s="6">
        <f>'Balance Sheet'!E31+'Balance Sheet'!E37</f>
        <v>739000</v>
      </c>
      <c r="F42" s="6">
        <f>'Balance Sheet'!F31+'Balance Sheet'!F37</f>
        <v>1726000</v>
      </c>
      <c r="G42" s="84">
        <f>'Balance Sheet'!G31+'Balance Sheet'!G37</f>
        <v>987000</v>
      </c>
      <c r="H42" s="35">
        <f>'Balance Sheet'!H31+'Balance Sheet'!H37</f>
        <v>987000</v>
      </c>
      <c r="I42" s="35">
        <f>'Balance Sheet'!I31+'Balance Sheet'!I37</f>
        <v>987000</v>
      </c>
      <c r="J42" s="35">
        <f>'Balance Sheet'!J31+'Balance Sheet'!J37</f>
        <v>987000</v>
      </c>
    </row>
    <row r="43" spans="1:10" x14ac:dyDescent="0.2">
      <c r="A43" t="s">
        <v>203</v>
      </c>
      <c r="B43" s="6">
        <f>B41-B42</f>
        <v>477600</v>
      </c>
      <c r="C43" s="6">
        <f t="shared" ref="C43:J43" si="7">C41-C42</f>
        <v>1078700</v>
      </c>
      <c r="D43" s="6">
        <f t="shared" si="7"/>
        <v>1262500</v>
      </c>
      <c r="E43" s="6">
        <f t="shared" si="7"/>
        <v>1933100</v>
      </c>
      <c r="F43" s="6">
        <f t="shared" si="7"/>
        <v>2439900</v>
      </c>
      <c r="G43" s="84">
        <f t="shared" si="7"/>
        <v>2993000</v>
      </c>
      <c r="H43" s="35">
        <f t="shared" si="7"/>
        <v>4130020.8805242945</v>
      </c>
      <c r="I43" s="35">
        <f t="shared" si="7"/>
        <v>5503251.9244072177</v>
      </c>
      <c r="J43" s="35">
        <f t="shared" si="7"/>
        <v>7244383.8930869773</v>
      </c>
    </row>
    <row r="44" spans="1:10" x14ac:dyDescent="0.2">
      <c r="A44" t="s">
        <v>204</v>
      </c>
      <c r="B44" s="12">
        <f>IF('Income Statement'!B7=0,0,'Balance Sheet'!B7/'Income Statement'!B7*365)</f>
        <v>54.836794661749394</v>
      </c>
      <c r="C44" s="12">
        <f>IF('Income Statement'!C7=0,0,'Balance Sheet'!C7/'Income Statement'!C7*365)</f>
        <v>63.792493812193769</v>
      </c>
      <c r="D44" s="12">
        <f>IF('Income Statement'!D7=0,0,'Balance Sheet'!D7/'Income Statement'!D7*365)</f>
        <v>63.758313135051878</v>
      </c>
      <c r="E44" s="12">
        <f>IF('Income Statement'!E7=0,0,'Balance Sheet'!E7/'Income Statement'!E7*365)</f>
        <v>69.967064925790368</v>
      </c>
      <c r="F44" s="12">
        <f>IF('Income Statement'!F7=0,0,'Balance Sheet'!F7/'Income Statement'!F7*365)</f>
        <v>70.570682442173648</v>
      </c>
      <c r="G44" s="86">
        <f>IF('Income Statement'!G7=0,0,'Balance Sheet'!G7/'Income Statement'!G7*365)</f>
        <v>70.823120915032675</v>
      </c>
      <c r="H44" s="81">
        <f>IF('Income Statement'!H7=0,0,'Balance Sheet'!H7/'Income Statement'!H7*365)</f>
        <v>70</v>
      </c>
      <c r="I44" s="81">
        <f>IF('Income Statement'!I7=0,0,'Balance Sheet'!I7/'Income Statement'!I7*365)</f>
        <v>70</v>
      </c>
      <c r="J44" s="81">
        <f>IF('Income Statement'!J7=0,0,'Balance Sheet'!J7/'Income Statement'!J7*365)</f>
        <v>70</v>
      </c>
    </row>
    <row r="45" spans="1:10" x14ac:dyDescent="0.2">
      <c r="A45" t="s">
        <v>205</v>
      </c>
      <c r="B45" s="7">
        <f>IF('Income Statement'!B7=0,0,('Balance Sheet'!B30+'Balance Sheet'!B36)/'Income Statement'!B7)</f>
        <v>0.24707981507153706</v>
      </c>
      <c r="C45" s="7">
        <f>IF('Income Statement'!C7=0,0,('Balance Sheet'!C30+'Balance Sheet'!C36)/'Income Statement'!C7)</f>
        <v>0.25593103332154704</v>
      </c>
      <c r="D45" s="7">
        <f>IF('Income Statement'!D7=0,0,('Balance Sheet'!D30+'Balance Sheet'!D36)/'Income Statement'!D7)</f>
        <v>0.1952168877532745</v>
      </c>
      <c r="E45" s="7">
        <f>IF('Income Statement'!E7=0,0,('Balance Sheet'!E30+'Balance Sheet'!E36)/'Income Statement'!E7)</f>
        <v>0.20014752658062515</v>
      </c>
      <c r="F45" s="7">
        <f>IF('Income Statement'!F7=0,0,('Balance Sheet'!F30+'Balance Sheet'!F36)/'Income Statement'!F7)</f>
        <v>0.19222673814322383</v>
      </c>
      <c r="G45" s="70">
        <f>IF('Income Statement'!G7=0,0,('Balance Sheet'!G30+'Balance Sheet'!G36)/'Income Statement'!G7)</f>
        <v>0.19111811391223155</v>
      </c>
      <c r="H45" s="37">
        <f>IF('Income Statement'!H7=0,0,('Balance Sheet'!H30+'Balance Sheet'!H36)/'Income Statement'!H7)</f>
        <v>0.17800000000000002</v>
      </c>
      <c r="I45" s="37">
        <f>IF('Income Statement'!I7=0,0,('Balance Sheet'!I30+'Balance Sheet'!I36)/'Income Statement'!I7)</f>
        <v>0.17599999999999999</v>
      </c>
      <c r="J45" s="37">
        <f>IF('Income Statement'!J7=0,0,('Balance Sheet'!J30+'Balance Sheet'!J36)/'Income Statement'!J7)</f>
        <v>0.17400000000000002</v>
      </c>
    </row>
    <row r="46" spans="1:10" x14ac:dyDescent="0.2">
      <c r="A46" t="s">
        <v>206</v>
      </c>
      <c r="B46" s="9">
        <v>500000</v>
      </c>
      <c r="C46" s="9">
        <v>800000</v>
      </c>
      <c r="D46" s="9">
        <v>1290000</v>
      </c>
      <c r="E46" s="9">
        <v>1710000</v>
      </c>
      <c r="F46" s="9">
        <v>2120000</v>
      </c>
      <c r="G46" s="82">
        <v>2700000</v>
      </c>
      <c r="H46" s="35">
        <v>3350000</v>
      </c>
      <c r="I46" s="35">
        <v>4050000</v>
      </c>
      <c r="J46" s="35">
        <v>4860000</v>
      </c>
    </row>
    <row r="47" spans="1:10" x14ac:dyDescent="0.2">
      <c r="A47" t="s">
        <v>207</v>
      </c>
      <c r="B47" s="9">
        <v>350000</v>
      </c>
      <c r="C47" s="9">
        <v>560000</v>
      </c>
      <c r="D47" s="9">
        <v>930000</v>
      </c>
      <c r="E47" s="9">
        <v>1280000</v>
      </c>
      <c r="F47" s="9">
        <v>1570000</v>
      </c>
      <c r="G47" s="82">
        <v>2000000</v>
      </c>
      <c r="H47" s="35">
        <v>2480000</v>
      </c>
      <c r="I47" s="35">
        <v>3000000</v>
      </c>
      <c r="J47" s="35">
        <v>3600000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 Statement</vt:lpstr>
      <vt:lpstr>Balance Sheet</vt:lpstr>
      <vt:lpstr>Cash Flow</vt:lpstr>
      <vt:lpstr>KPIs &amp; Drivers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Krishnan, Advaith</dc:creator>
  <cp:lastModifiedBy>Krishnan, Advaith</cp:lastModifiedBy>
  <dcterms:created xsi:type="dcterms:W3CDTF">2026-03-14T15:42:22Z</dcterms:created>
  <dcterms:modified xsi:type="dcterms:W3CDTF">2026-03-15T20:32:28Z</dcterms:modified>
</cp:coreProperties>
</file>